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PARACLINICE " sheetId="1" r:id="rId1"/>
  </sheets>
  <definedNames/>
  <calcPr fullCalcOnLoad="1"/>
</workbook>
</file>

<file path=xl/sharedStrings.xml><?xml version="1.0" encoding="utf-8"?>
<sst xmlns="http://schemas.openxmlformats.org/spreadsheetml/2006/main" count="180" uniqueCount="96">
  <si>
    <t>LUNA</t>
  </si>
  <si>
    <t>TOTAL</t>
  </si>
  <si>
    <t>CONTRACTAT</t>
  </si>
  <si>
    <t>SPITALUL MUNICIPAL OLTENITA</t>
  </si>
  <si>
    <t>MEDIMA HEALTH - R.Inalta Performanta</t>
  </si>
  <si>
    <t>TRIM.I 2022</t>
  </si>
  <si>
    <t>TRIM.II 2022</t>
  </si>
  <si>
    <t>TRIM.III 2022</t>
  </si>
  <si>
    <t>TOTAL TRIM IV 2022</t>
  </si>
  <si>
    <t>TOTAL AN  2022</t>
  </si>
  <si>
    <t>S.C.ALPHA MEDICAL INVEST</t>
  </si>
  <si>
    <t>S.C.BABEL MODEL SRL</t>
  </si>
  <si>
    <t>S.C.CLINICA SANTE</t>
  </si>
  <si>
    <t>S.C.SAN CRIS</t>
  </si>
  <si>
    <t>DENUMIRE FURNIZOR</t>
  </si>
  <si>
    <t>S.C.GRINEI LIFE SRL</t>
  </si>
  <si>
    <t>CMI DR.FILIP MARIA</t>
  </si>
  <si>
    <t>S.C.PROMED SRL</t>
  </si>
  <si>
    <t xml:space="preserve">S.C.CABINET MEDICAL DR.TOPOLOGEANU GABRIELA SRL </t>
  </si>
  <si>
    <t>ianuarie 2022 monitorizare</t>
  </si>
  <si>
    <t>ianuarie 2022 preventie</t>
  </si>
  <si>
    <t>Total ianuarie 2022</t>
  </si>
  <si>
    <t>februarie 2022 monitorizare</t>
  </si>
  <si>
    <t>februarie 2022 preventie</t>
  </si>
  <si>
    <t>Total februarie 2022</t>
  </si>
  <si>
    <t>martie 2022 monitorizare</t>
  </si>
  <si>
    <t>martie 2022 preventie</t>
  </si>
  <si>
    <t>Total martie 2022</t>
  </si>
  <si>
    <t>TRIM.I 2022 monit</t>
  </si>
  <si>
    <t>TRIM.I 2022 preventii</t>
  </si>
  <si>
    <t>TRIM.I 2022+monitor+preventii</t>
  </si>
  <si>
    <t>aprilie 2022 monitorizare</t>
  </si>
  <si>
    <t>aprilie 2022 preventie</t>
  </si>
  <si>
    <t>Total aprilie 2022</t>
  </si>
  <si>
    <t>mai 2022 monitorizare</t>
  </si>
  <si>
    <t>mai 2022 preventie</t>
  </si>
  <si>
    <t>Total mai 2022</t>
  </si>
  <si>
    <t>iunie 2022 monitorizare</t>
  </si>
  <si>
    <t>iunie 2022 preventie</t>
  </si>
  <si>
    <t>Total iunie 2022</t>
  </si>
  <si>
    <t>TRIM.II 2022 monit</t>
  </si>
  <si>
    <t>TRIM.II 2022 preventii</t>
  </si>
  <si>
    <t>TRIM.II 2022+monitor+preventii</t>
  </si>
  <si>
    <t>iulie 2022 preventie</t>
  </si>
  <si>
    <t>iulie 2022 monitorizare</t>
  </si>
  <si>
    <t>Total iulie 2022</t>
  </si>
  <si>
    <t>august 2022 preventie</t>
  </si>
  <si>
    <t>august 2022 monitorizare</t>
  </si>
  <si>
    <t>Total august 2022</t>
  </si>
  <si>
    <t>sept 2022 preventie</t>
  </si>
  <si>
    <t>sept 2022 monitorizare</t>
  </si>
  <si>
    <t>Total sept 2022</t>
  </si>
  <si>
    <t>TRIM.III 2022 monit</t>
  </si>
  <si>
    <t>TRIM.III 2022 preventie</t>
  </si>
  <si>
    <t>TRIM.III 2022+monitor+preventie</t>
  </si>
  <si>
    <t>oct 2022 preventie</t>
  </si>
  <si>
    <t>oct 2022 monitorizare</t>
  </si>
  <si>
    <t>Total oct 2022</t>
  </si>
  <si>
    <t>nov 2022 preventie</t>
  </si>
  <si>
    <t>nov 2022 monitorizare</t>
  </si>
  <si>
    <t>Total nov 2022</t>
  </si>
  <si>
    <t>dec 2022 preventie</t>
  </si>
  <si>
    <t>dec 2022 monitorizare</t>
  </si>
  <si>
    <t>Total dec 2022</t>
  </si>
  <si>
    <t>TRIM.IV 2022 monit</t>
  </si>
  <si>
    <t>TRIM.IV 2022 preventie</t>
  </si>
  <si>
    <t>TRIM.IV 2022+monitor+preventie</t>
  </si>
  <si>
    <t>TOTAL GENERAL 2022</t>
  </si>
  <si>
    <t>TOTAL monitorizari 2022</t>
  </si>
  <si>
    <t>TOTAL preventie 2022</t>
  </si>
  <si>
    <t>TOTAL GENERAL 2022+monitorizari+preventie</t>
  </si>
  <si>
    <t>SPITALUL JUDEȚEAN DR.POMPEI SAMARIAN CĂLĂRAȘI</t>
  </si>
  <si>
    <t>SPITALUL JUDEȚEAN DR.POMPEI SAMARIAN CĂLĂRAȘI -R.CONVENȚIONALĂ</t>
  </si>
  <si>
    <t>SPITALUL JUDEȚEAN DR.POMPEI SAMARIAN CĂLĂRAȘI - ÎP</t>
  </si>
  <si>
    <t>ALPHA MEDICAL INVEST- R.Inalta Performanta</t>
  </si>
  <si>
    <t>ALPHA MEDICAL INVEST- R.Conventionala</t>
  </si>
  <si>
    <t>TRIM.I 2022+monitorizari+preventii</t>
  </si>
  <si>
    <t>septembrie 2022 preventie</t>
  </si>
  <si>
    <t>septembrie 2022 monitorizare</t>
  </si>
  <si>
    <t>Total septembrie 2022</t>
  </si>
  <si>
    <t>Monitorizari dec 2021</t>
  </si>
  <si>
    <t>Preventii dec 2021</t>
  </si>
  <si>
    <t>mai 2022 Ucraina</t>
  </si>
  <si>
    <t>iunie 2022 Ucraina</t>
  </si>
  <si>
    <t>TRIM.II 2022 UCRAINA</t>
  </si>
  <si>
    <t>TRIM.II 2022+monitor+preventii+Ucraina</t>
  </si>
  <si>
    <t>TOTAL UCRAINA 2022</t>
  </si>
  <si>
    <t>TOTAL GENERAL 2022+monitorizari+preventie+UCRAINA</t>
  </si>
  <si>
    <t xml:space="preserve">SITUAȚIE VALORI CONTRACTATE PARACLINICE - RADIOLOGIE Și imagistică medicală PENTRU ANUL 2022 </t>
  </si>
  <si>
    <t xml:space="preserve">SITUAȚIE VALORI CONTRACTATE PARACLINICE - HISTOPATOLOGIE PENTRU ANUL 2022 </t>
  </si>
  <si>
    <t>iulie 2022 Ucraina</t>
  </si>
  <si>
    <t>august 2022 Ucraina</t>
  </si>
  <si>
    <t>TRIM.III 2022+UCRAINA</t>
  </si>
  <si>
    <t>TOTAL AN  2022+UCRAINA</t>
  </si>
  <si>
    <t>SITUAȚIE VALORI CONTRACTATE PARACLINICE - ANALIZE LABORATOR PENTRU ANUL 2022</t>
  </si>
  <si>
    <t>S.C.ROYALMED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</si>
</sst>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[$-418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8]d\ mmmm\ yyyy"/>
    <numFmt numFmtId="174" formatCode="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1" fontId="0" fillId="0" borderId="0" xfId="0" applyNumberFormat="1" applyAlignment="1">
      <alignment wrapText="1"/>
    </xf>
    <xf numFmtId="1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7" fontId="0" fillId="0" borderId="10" xfId="0" applyNumberForma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7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7" fontId="7" fillId="0" borderId="10" xfId="0" applyNumberFormat="1" applyFont="1" applyBorder="1" applyAlignment="1">
      <alignment horizontal="center" wrapText="1"/>
    </xf>
    <xf numFmtId="17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17" fontId="1" fillId="0" borderId="1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7" fillId="0" borderId="10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wrapText="1"/>
    </xf>
    <xf numFmtId="4" fontId="0" fillId="0" borderId="0" xfId="0" applyNumberFormat="1" applyFont="1" applyBorder="1" applyAlignment="1">
      <alignment horizontal="left"/>
    </xf>
    <xf numFmtId="4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2" fontId="44" fillId="0" borderId="11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center" wrapText="1"/>
    </xf>
    <xf numFmtId="17" fontId="44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/>
    </xf>
    <xf numFmtId="17" fontId="46" fillId="0" borderId="10" xfId="0" applyNumberFormat="1" applyFont="1" applyBorder="1" applyAlignment="1">
      <alignment horizontal="center" wrapText="1"/>
    </xf>
    <xf numFmtId="4" fontId="46" fillId="0" borderId="10" xfId="0" applyNumberFormat="1" applyFont="1" applyBorder="1" applyAlignment="1">
      <alignment wrapText="1"/>
    </xf>
    <xf numFmtId="4" fontId="46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right"/>
    </xf>
    <xf numFmtId="17" fontId="7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PageLayoutView="0" workbookViewId="0" topLeftCell="A177">
      <selection activeCell="D205" sqref="D205"/>
    </sheetView>
  </sheetViews>
  <sheetFormatPr defaultColWidth="9.140625" defaultRowHeight="12.75"/>
  <cols>
    <col min="1" max="1" width="14.421875" style="0" customWidth="1"/>
    <col min="2" max="2" width="12.28125" style="0" customWidth="1"/>
    <col min="3" max="3" width="11.421875" style="0" customWidth="1"/>
    <col min="4" max="4" width="14.28125" style="0" customWidth="1"/>
    <col min="5" max="5" width="14.7109375" style="0" customWidth="1"/>
    <col min="6" max="6" width="11.7109375" style="0" customWidth="1"/>
    <col min="7" max="7" width="12.421875" style="0" customWidth="1"/>
    <col min="8" max="8" width="12.28125" style="0" customWidth="1"/>
    <col min="9" max="9" width="16.421875" style="0" customWidth="1"/>
    <col min="10" max="10" width="11.57421875" style="0" customWidth="1"/>
    <col min="11" max="11" width="12.421875" style="0" customWidth="1"/>
    <col min="12" max="12" width="10.140625" style="0" customWidth="1"/>
    <col min="13" max="16" width="8.421875" style="0" customWidth="1"/>
    <col min="17" max="17" width="10.57421875" style="0" customWidth="1"/>
  </cols>
  <sheetData>
    <row r="1" spans="1:2" ht="12.75">
      <c r="A1" s="86"/>
      <c r="B1" s="87"/>
    </row>
    <row r="2" spans="1:4" ht="12.75">
      <c r="A2" s="27" t="s">
        <v>94</v>
      </c>
      <c r="B2" s="85"/>
      <c r="C2" s="85"/>
      <c r="D2" s="85"/>
    </row>
    <row r="4" spans="1:11" ht="12.75">
      <c r="A4" s="98" t="s">
        <v>0</v>
      </c>
      <c r="B4" s="100" t="s">
        <v>14</v>
      </c>
      <c r="C4" s="102"/>
      <c r="D4" s="102"/>
      <c r="E4" s="102"/>
      <c r="F4" s="102"/>
      <c r="G4" s="102"/>
      <c r="H4" s="103"/>
      <c r="I4" s="101"/>
      <c r="J4" s="28"/>
      <c r="K4" s="28"/>
    </row>
    <row r="5" spans="1:11" ht="81" customHeight="1">
      <c r="A5" s="99"/>
      <c r="B5" s="2" t="s">
        <v>10</v>
      </c>
      <c r="C5" s="2" t="s">
        <v>11</v>
      </c>
      <c r="D5" s="2" t="s">
        <v>12</v>
      </c>
      <c r="E5" s="2" t="s">
        <v>13</v>
      </c>
      <c r="F5" s="2" t="s">
        <v>18</v>
      </c>
      <c r="G5" s="41" t="s">
        <v>71</v>
      </c>
      <c r="H5" s="2" t="s">
        <v>95</v>
      </c>
      <c r="I5" s="29" t="s">
        <v>1</v>
      </c>
      <c r="J5" s="28"/>
      <c r="K5" s="28"/>
    </row>
    <row r="6" spans="1:11" ht="25.5">
      <c r="A6" s="3"/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42"/>
      <c r="K6" s="7"/>
    </row>
    <row r="7" spans="1:11" ht="25.5">
      <c r="A7" s="75" t="s">
        <v>80</v>
      </c>
      <c r="B7" s="76">
        <v>7483.92</v>
      </c>
      <c r="C7" s="77">
        <v>0</v>
      </c>
      <c r="D7" s="77">
        <v>1735.39</v>
      </c>
      <c r="E7" s="76">
        <v>2984.92</v>
      </c>
      <c r="F7" s="77">
        <v>0</v>
      </c>
      <c r="G7" s="77">
        <v>0</v>
      </c>
      <c r="H7" s="77">
        <v>0</v>
      </c>
      <c r="I7" s="91">
        <f>SUM(B7:H7)</f>
        <v>12204.23</v>
      </c>
      <c r="J7" s="42"/>
      <c r="K7" s="7"/>
    </row>
    <row r="8" spans="1:11" ht="25.5">
      <c r="A8" s="75" t="s">
        <v>81</v>
      </c>
      <c r="B8" s="78">
        <v>0</v>
      </c>
      <c r="C8" s="78">
        <v>0</v>
      </c>
      <c r="D8" s="78">
        <v>64.8</v>
      </c>
      <c r="E8" s="78">
        <v>0</v>
      </c>
      <c r="F8" s="78">
        <v>0</v>
      </c>
      <c r="G8" s="78">
        <v>0</v>
      </c>
      <c r="H8" s="78">
        <v>0</v>
      </c>
      <c r="I8" s="91">
        <f aca="true" t="shared" si="0" ref="I8:I71">SUM(B8:H8)</f>
        <v>64.8</v>
      </c>
      <c r="J8" s="42"/>
      <c r="K8" s="7"/>
    </row>
    <row r="9" spans="1:11" ht="12.75">
      <c r="A9" s="15">
        <v>44562</v>
      </c>
      <c r="B9" s="32">
        <f>26843.33-426.52</f>
        <v>26416.81</v>
      </c>
      <c r="C9" s="32">
        <f>34962.32-0.1</f>
        <v>34962.22</v>
      </c>
      <c r="D9" s="11">
        <f>29420.13-1.64</f>
        <v>29418.49</v>
      </c>
      <c r="E9" s="44">
        <f>37422.98-3.92</f>
        <v>37419.060000000005</v>
      </c>
      <c r="F9" s="32">
        <v>31381.41</v>
      </c>
      <c r="G9" s="32">
        <f>38465.4-650.25</f>
        <v>37815.15</v>
      </c>
      <c r="H9" s="36">
        <f>46529.43-6.15</f>
        <v>46523.28</v>
      </c>
      <c r="I9" s="91">
        <f t="shared" si="0"/>
        <v>243936.42</v>
      </c>
      <c r="J9" s="19"/>
      <c r="K9" s="7"/>
    </row>
    <row r="10" spans="1:11" ht="25.5">
      <c r="A10" s="79" t="s">
        <v>19</v>
      </c>
      <c r="B10" s="80">
        <v>25176.77</v>
      </c>
      <c r="C10" s="81">
        <v>2924.44</v>
      </c>
      <c r="D10" s="81">
        <v>1772.87</v>
      </c>
      <c r="E10" s="81">
        <v>9381.63</v>
      </c>
      <c r="F10" s="81">
        <v>0</v>
      </c>
      <c r="G10" s="81">
        <v>0</v>
      </c>
      <c r="H10" s="81">
        <v>0</v>
      </c>
      <c r="I10" s="91">
        <f t="shared" si="0"/>
        <v>39255.71</v>
      </c>
      <c r="J10" s="48"/>
      <c r="K10" s="7"/>
    </row>
    <row r="11" spans="1:11" ht="25.5">
      <c r="A11" s="79" t="s">
        <v>20</v>
      </c>
      <c r="B11" s="80">
        <v>0</v>
      </c>
      <c r="C11" s="81">
        <v>205.22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91">
        <f t="shared" si="0"/>
        <v>205.22</v>
      </c>
      <c r="J11" s="48"/>
      <c r="K11" s="7"/>
    </row>
    <row r="12" spans="1:11" ht="25.5">
      <c r="A12" s="50" t="s">
        <v>21</v>
      </c>
      <c r="B12" s="32">
        <f aca="true" t="shared" si="1" ref="B12:G12">SUM(B9:B11)</f>
        <v>51593.58</v>
      </c>
      <c r="C12" s="32">
        <f t="shared" si="1"/>
        <v>38091.880000000005</v>
      </c>
      <c r="D12" s="32">
        <f t="shared" si="1"/>
        <v>31191.36</v>
      </c>
      <c r="E12" s="32">
        <f t="shared" si="1"/>
        <v>46800.69</v>
      </c>
      <c r="F12" s="32">
        <f t="shared" si="1"/>
        <v>31381.41</v>
      </c>
      <c r="G12" s="32">
        <f t="shared" si="1"/>
        <v>37815.15</v>
      </c>
      <c r="H12" s="73">
        <f>SUM(H9:H11)</f>
        <v>46523.28</v>
      </c>
      <c r="I12" s="91">
        <f t="shared" si="0"/>
        <v>283397.35</v>
      </c>
      <c r="J12" s="37"/>
      <c r="K12" s="7"/>
    </row>
    <row r="13" spans="1:11" ht="12.75">
      <c r="A13" s="15">
        <v>44593</v>
      </c>
      <c r="B13" s="32">
        <f>29872.28-260.1</f>
        <v>29612.18</v>
      </c>
      <c r="C13" s="32">
        <f>38489.53-1.83</f>
        <v>38487.7</v>
      </c>
      <c r="D13" s="11">
        <f>32357.21-108.88</f>
        <v>32248.329999999998</v>
      </c>
      <c r="E13" s="32">
        <f>42193.97-2.05</f>
        <v>42191.92</v>
      </c>
      <c r="F13" s="32">
        <f>34540.45-0.01</f>
        <v>34540.439999999995</v>
      </c>
      <c r="G13" s="32">
        <f>42267.22-52.44</f>
        <v>42214.78</v>
      </c>
      <c r="H13" s="32">
        <f>51143.34+4859.65-42.91</f>
        <v>55960.079999999994</v>
      </c>
      <c r="I13" s="91">
        <f t="shared" si="0"/>
        <v>275255.43</v>
      </c>
      <c r="J13" s="19"/>
      <c r="K13" s="7"/>
    </row>
    <row r="14" spans="1:11" ht="25.5">
      <c r="A14" s="79" t="s">
        <v>22</v>
      </c>
      <c r="B14" s="46">
        <v>33149.5</v>
      </c>
      <c r="C14" s="46">
        <v>3543.71</v>
      </c>
      <c r="D14" s="47">
        <v>3078.23</v>
      </c>
      <c r="E14" s="46">
        <v>7553.63</v>
      </c>
      <c r="F14" s="46">
        <v>0</v>
      </c>
      <c r="G14" s="46">
        <v>0</v>
      </c>
      <c r="H14" s="46">
        <v>0</v>
      </c>
      <c r="I14" s="91">
        <f t="shared" si="0"/>
        <v>47325.07</v>
      </c>
      <c r="J14" s="48"/>
      <c r="K14" s="7"/>
    </row>
    <row r="15" spans="1:11" ht="25.5">
      <c r="A15" s="79" t="s">
        <v>23</v>
      </c>
      <c r="B15" s="46">
        <v>0</v>
      </c>
      <c r="C15" s="46">
        <v>83.06</v>
      </c>
      <c r="D15" s="47">
        <v>0</v>
      </c>
      <c r="E15" s="46">
        <v>0</v>
      </c>
      <c r="F15" s="46">
        <v>0</v>
      </c>
      <c r="G15" s="46">
        <v>0</v>
      </c>
      <c r="H15" s="46">
        <v>0</v>
      </c>
      <c r="I15" s="91">
        <f t="shared" si="0"/>
        <v>83.06</v>
      </c>
      <c r="J15" s="48"/>
      <c r="K15" s="7"/>
    </row>
    <row r="16" spans="1:11" ht="25.5">
      <c r="A16" s="50" t="s">
        <v>24</v>
      </c>
      <c r="B16" s="32">
        <f aca="true" t="shared" si="2" ref="B16:I16">SUM(B13:B15)</f>
        <v>62761.68</v>
      </c>
      <c r="C16" s="32">
        <f t="shared" si="2"/>
        <v>42114.469999999994</v>
      </c>
      <c r="D16" s="32">
        <f t="shared" si="2"/>
        <v>35326.56</v>
      </c>
      <c r="E16" s="32">
        <f t="shared" si="2"/>
        <v>49745.549999999996</v>
      </c>
      <c r="F16" s="32">
        <f t="shared" si="2"/>
        <v>34540.439999999995</v>
      </c>
      <c r="G16" s="32">
        <f t="shared" si="2"/>
        <v>42214.78</v>
      </c>
      <c r="H16" s="32">
        <f t="shared" si="2"/>
        <v>55960.079999999994</v>
      </c>
      <c r="I16" s="91">
        <f t="shared" si="0"/>
        <v>322663.56</v>
      </c>
      <c r="J16" s="19"/>
      <c r="K16" s="7"/>
    </row>
    <row r="17" spans="1:11" ht="12.75">
      <c r="A17" s="15">
        <v>44621</v>
      </c>
      <c r="B17" s="32">
        <f>30102.95+3010-10.31</f>
        <v>33102.64</v>
      </c>
      <c r="C17" s="32">
        <f>38517.13+226.52-5.77</f>
        <v>38737.88</v>
      </c>
      <c r="D17" s="11">
        <f>31887.81+185.48-116.3</f>
        <v>31956.99</v>
      </c>
      <c r="E17" s="32">
        <f>42181.4+278.31-2.16</f>
        <v>42457.549999999996</v>
      </c>
      <c r="F17" s="32">
        <f>34566.62+186.61-0.31</f>
        <v>34752.920000000006</v>
      </c>
      <c r="G17" s="32">
        <f>42677.21-150.4</f>
        <v>42526.81</v>
      </c>
      <c r="H17" s="32">
        <f>50930.88-4859.65+276.66-2.96</f>
        <v>46344.93</v>
      </c>
      <c r="I17" s="91">
        <f t="shared" si="0"/>
        <v>269879.72000000003</v>
      </c>
      <c r="J17" s="19"/>
      <c r="K17" s="7"/>
    </row>
    <row r="18" spans="1:11" ht="25.5">
      <c r="A18" s="79" t="s">
        <v>25</v>
      </c>
      <c r="B18" s="46">
        <v>40233.1</v>
      </c>
      <c r="C18" s="46">
        <v>4183.7</v>
      </c>
      <c r="D18" s="47">
        <v>697.64</v>
      </c>
      <c r="E18" s="46">
        <v>12851.78</v>
      </c>
      <c r="F18" s="46">
        <v>0</v>
      </c>
      <c r="G18" s="46">
        <v>0</v>
      </c>
      <c r="H18" s="46">
        <v>0</v>
      </c>
      <c r="I18" s="91">
        <f t="shared" si="0"/>
        <v>57966.219999999994</v>
      </c>
      <c r="J18" s="48"/>
      <c r="K18" s="7"/>
    </row>
    <row r="19" spans="1:11" ht="25.5">
      <c r="A19" s="79" t="s">
        <v>26</v>
      </c>
      <c r="B19" s="46">
        <v>0</v>
      </c>
      <c r="C19" s="46">
        <v>83.06</v>
      </c>
      <c r="D19" s="47">
        <v>0</v>
      </c>
      <c r="E19" s="46">
        <v>0</v>
      </c>
      <c r="F19" s="46">
        <v>0</v>
      </c>
      <c r="G19" s="46">
        <v>0</v>
      </c>
      <c r="H19" s="46">
        <v>0</v>
      </c>
      <c r="I19" s="91">
        <f t="shared" si="0"/>
        <v>83.06</v>
      </c>
      <c r="J19" s="48"/>
      <c r="K19" s="7"/>
    </row>
    <row r="20" spans="1:11" ht="25.5">
      <c r="A20" s="50" t="s">
        <v>27</v>
      </c>
      <c r="B20" s="36">
        <f aca="true" t="shared" si="3" ref="B20:G20">SUM(B17:B19)</f>
        <v>73335.73999999999</v>
      </c>
      <c r="C20" s="36">
        <f t="shared" si="3"/>
        <v>43004.63999999999</v>
      </c>
      <c r="D20" s="32">
        <f t="shared" si="3"/>
        <v>32654.63</v>
      </c>
      <c r="E20" s="32">
        <f t="shared" si="3"/>
        <v>55309.329999999994</v>
      </c>
      <c r="F20" s="32">
        <f t="shared" si="3"/>
        <v>34752.920000000006</v>
      </c>
      <c r="G20" s="32">
        <f t="shared" si="3"/>
        <v>42526.81</v>
      </c>
      <c r="H20" s="73"/>
      <c r="I20" s="91">
        <f t="shared" si="0"/>
        <v>281584.06999999995</v>
      </c>
      <c r="J20" s="19"/>
      <c r="K20" s="7"/>
    </row>
    <row r="21" spans="1:11" ht="12.75">
      <c r="A21" s="29" t="s">
        <v>5</v>
      </c>
      <c r="B21" s="35">
        <f>B9+B13+B17</f>
        <v>89131.63</v>
      </c>
      <c r="C21" s="35">
        <f aca="true" t="shared" si="4" ref="C21:H23">C9+C13+C17</f>
        <v>112187.79999999999</v>
      </c>
      <c r="D21" s="35">
        <f t="shared" si="4"/>
        <v>93623.81</v>
      </c>
      <c r="E21" s="35">
        <f t="shared" si="4"/>
        <v>122068.53</v>
      </c>
      <c r="F21" s="35">
        <f t="shared" si="4"/>
        <v>100674.76999999999</v>
      </c>
      <c r="G21" s="35">
        <f t="shared" si="4"/>
        <v>122556.73999999999</v>
      </c>
      <c r="H21" s="35">
        <f t="shared" si="4"/>
        <v>148828.28999999998</v>
      </c>
      <c r="I21" s="91">
        <f t="shared" si="0"/>
        <v>789071.5700000001</v>
      </c>
      <c r="J21" s="4"/>
      <c r="K21" s="7"/>
    </row>
    <row r="22" spans="1:11" ht="25.5">
      <c r="A22" s="51" t="s">
        <v>28</v>
      </c>
      <c r="B22" s="35">
        <f>B10+B14+B18</f>
        <v>98559.37</v>
      </c>
      <c r="C22" s="35">
        <f t="shared" si="4"/>
        <v>10651.849999999999</v>
      </c>
      <c r="D22" s="35">
        <f t="shared" si="4"/>
        <v>5548.740000000001</v>
      </c>
      <c r="E22" s="35">
        <f t="shared" si="4"/>
        <v>29787.04</v>
      </c>
      <c r="F22" s="35">
        <f t="shared" si="4"/>
        <v>0</v>
      </c>
      <c r="G22" s="35">
        <f t="shared" si="4"/>
        <v>0</v>
      </c>
      <c r="H22" s="35">
        <f t="shared" si="4"/>
        <v>0</v>
      </c>
      <c r="I22" s="91">
        <f t="shared" si="0"/>
        <v>144547</v>
      </c>
      <c r="J22" s="4"/>
      <c r="K22" s="7"/>
    </row>
    <row r="23" spans="1:11" ht="25.5">
      <c r="A23" s="51" t="s">
        <v>29</v>
      </c>
      <c r="B23" s="35">
        <f>B11+B15+B19</f>
        <v>0</v>
      </c>
      <c r="C23" s="35">
        <f t="shared" si="4"/>
        <v>371.34</v>
      </c>
      <c r="D23" s="35">
        <f t="shared" si="4"/>
        <v>0</v>
      </c>
      <c r="E23" s="35">
        <f t="shared" si="4"/>
        <v>0</v>
      </c>
      <c r="F23" s="35">
        <f t="shared" si="4"/>
        <v>0</v>
      </c>
      <c r="G23" s="35">
        <f t="shared" si="4"/>
        <v>0</v>
      </c>
      <c r="H23" s="35">
        <f t="shared" si="4"/>
        <v>0</v>
      </c>
      <c r="I23" s="91">
        <f t="shared" si="0"/>
        <v>371.34</v>
      </c>
      <c r="J23" s="4"/>
      <c r="K23" s="7"/>
    </row>
    <row r="24" spans="1:11" ht="38.25">
      <c r="A24" s="51" t="s">
        <v>30</v>
      </c>
      <c r="B24" s="35">
        <f aca="true" t="shared" si="5" ref="B24:H24">SUM(B21:B23)</f>
        <v>187691</v>
      </c>
      <c r="C24" s="35">
        <f t="shared" si="5"/>
        <v>123210.98999999999</v>
      </c>
      <c r="D24" s="35">
        <f t="shared" si="5"/>
        <v>99172.55</v>
      </c>
      <c r="E24" s="35">
        <f t="shared" si="5"/>
        <v>151855.57</v>
      </c>
      <c r="F24" s="35">
        <f t="shared" si="5"/>
        <v>100674.76999999999</v>
      </c>
      <c r="G24" s="35">
        <f t="shared" si="5"/>
        <v>122556.73999999999</v>
      </c>
      <c r="H24" s="35">
        <f t="shared" si="5"/>
        <v>148828.28999999998</v>
      </c>
      <c r="I24" s="91">
        <f t="shared" si="0"/>
        <v>933989.9099999999</v>
      </c>
      <c r="J24" s="4"/>
      <c r="K24" s="7"/>
    </row>
    <row r="25" spans="1:11" ht="12.75">
      <c r="A25" s="15">
        <v>44652</v>
      </c>
      <c r="B25" s="52">
        <f>31766.47-3010-5.49</f>
        <v>28750.98</v>
      </c>
      <c r="C25" s="38">
        <f>39634.94+88.32-0.39</f>
        <v>39722.87</v>
      </c>
      <c r="D25" s="38">
        <f>34404.21-1.42</f>
        <v>34402.79</v>
      </c>
      <c r="E25" s="38">
        <f>40884.26+106.32-10.12</f>
        <v>40980.46</v>
      </c>
      <c r="F25" s="38">
        <f>30223.41+72.59-0.55</f>
        <v>30295.45</v>
      </c>
      <c r="G25" s="38">
        <f>42292.39+88.13-286.82</f>
        <v>42093.7</v>
      </c>
      <c r="H25" s="38">
        <f>51658.32+112.86-1.77</f>
        <v>51769.41</v>
      </c>
      <c r="I25" s="91">
        <f t="shared" si="0"/>
        <v>268015.66000000003</v>
      </c>
      <c r="J25" s="19"/>
      <c r="K25" s="7"/>
    </row>
    <row r="26" spans="1:11" ht="25.5">
      <c r="A26" s="45" t="s">
        <v>31</v>
      </c>
      <c r="B26" s="53">
        <v>16464.25</v>
      </c>
      <c r="C26" s="54">
        <v>1966.77</v>
      </c>
      <c r="D26" s="54">
        <v>771.74</v>
      </c>
      <c r="E26" s="54">
        <v>3158.83</v>
      </c>
      <c r="F26" s="54">
        <v>0</v>
      </c>
      <c r="G26" s="54">
        <v>140.58</v>
      </c>
      <c r="H26" s="54">
        <v>0</v>
      </c>
      <c r="I26" s="91">
        <f t="shared" si="0"/>
        <v>22502.170000000006</v>
      </c>
      <c r="J26" s="56"/>
      <c r="K26" s="7"/>
    </row>
    <row r="27" spans="1:11" ht="25.5">
      <c r="A27" s="49" t="s">
        <v>32</v>
      </c>
      <c r="B27" s="53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91">
        <f t="shared" si="0"/>
        <v>0</v>
      </c>
      <c r="J27" s="56"/>
      <c r="K27" s="7"/>
    </row>
    <row r="28" spans="1:11" ht="25.5">
      <c r="A28" s="50" t="s">
        <v>33</v>
      </c>
      <c r="B28" s="52">
        <f>SUM(B25:B27)</f>
        <v>45215.229999999996</v>
      </c>
      <c r="C28" s="52">
        <f aca="true" t="shared" si="6" ref="C28:H28">SUM(C25:C27)</f>
        <v>41689.64</v>
      </c>
      <c r="D28" s="52">
        <f t="shared" si="6"/>
        <v>35174.53</v>
      </c>
      <c r="E28" s="52">
        <f t="shared" si="6"/>
        <v>44139.29</v>
      </c>
      <c r="F28" s="52">
        <f t="shared" si="6"/>
        <v>30295.45</v>
      </c>
      <c r="G28" s="52">
        <f t="shared" si="6"/>
        <v>42234.28</v>
      </c>
      <c r="H28" s="52">
        <f t="shared" si="6"/>
        <v>51769.41</v>
      </c>
      <c r="I28" s="91">
        <f t="shared" si="0"/>
        <v>290517.83</v>
      </c>
      <c r="J28" s="19"/>
      <c r="K28" s="7"/>
    </row>
    <row r="29" spans="1:11" ht="12.75">
      <c r="A29" s="15">
        <v>44682</v>
      </c>
      <c r="B29" s="52">
        <f>31758.67+75.95-27.01</f>
        <v>31807.61</v>
      </c>
      <c r="C29" s="38">
        <f>39628.45+49.85-70.05</f>
        <v>39608.24999999999</v>
      </c>
      <c r="D29" s="38">
        <f>34397.48-142.37</f>
        <v>34255.11</v>
      </c>
      <c r="E29" s="38">
        <f>40767.09+61.45-0.97</f>
        <v>40827.56999999999</v>
      </c>
      <c r="F29" s="38">
        <f>30217.29+40.74-715.69</f>
        <v>29542.340000000004</v>
      </c>
      <c r="G29" s="38">
        <f>42448.52-259.54</f>
        <v>42188.979999999996</v>
      </c>
      <c r="H29" s="38">
        <f>51646.5+60.22+5170-30.19</f>
        <v>56846.53</v>
      </c>
      <c r="I29" s="91">
        <f t="shared" si="0"/>
        <v>275076.39</v>
      </c>
      <c r="J29" s="19"/>
      <c r="K29" s="7"/>
    </row>
    <row r="30" spans="1:11" ht="25.5">
      <c r="A30" s="45" t="s">
        <v>34</v>
      </c>
      <c r="B30" s="53">
        <v>33647.54</v>
      </c>
      <c r="C30" s="54">
        <v>7939.35</v>
      </c>
      <c r="D30" s="54">
        <v>2825.89</v>
      </c>
      <c r="E30" s="54">
        <v>11555.12</v>
      </c>
      <c r="F30" s="54">
        <v>2259.15</v>
      </c>
      <c r="G30" s="54">
        <v>0</v>
      </c>
      <c r="H30" s="54">
        <v>0</v>
      </c>
      <c r="I30" s="91">
        <f t="shared" si="0"/>
        <v>58227.05</v>
      </c>
      <c r="J30" s="57"/>
      <c r="K30" s="7"/>
    </row>
    <row r="31" spans="1:11" ht="25.5">
      <c r="A31" s="49" t="s">
        <v>35</v>
      </c>
      <c r="B31" s="53">
        <v>0</v>
      </c>
      <c r="C31" s="54">
        <v>114.22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91">
        <f t="shared" si="0"/>
        <v>114.22</v>
      </c>
      <c r="J31" s="57"/>
      <c r="K31" s="7"/>
    </row>
    <row r="32" spans="1:11" ht="25.5">
      <c r="A32" s="49" t="s">
        <v>82</v>
      </c>
      <c r="B32" s="53">
        <v>0</v>
      </c>
      <c r="C32" s="54">
        <v>0</v>
      </c>
      <c r="D32" s="54">
        <v>0</v>
      </c>
      <c r="E32" s="54">
        <v>0</v>
      </c>
      <c r="F32" s="54">
        <v>0</v>
      </c>
      <c r="G32" s="54">
        <v>254.56</v>
      </c>
      <c r="H32" s="54">
        <v>0</v>
      </c>
      <c r="I32" s="91">
        <f t="shared" si="0"/>
        <v>254.56</v>
      </c>
      <c r="J32" s="57"/>
      <c r="K32" s="7"/>
    </row>
    <row r="33" spans="1:11" ht="12.75">
      <c r="A33" s="50" t="s">
        <v>36</v>
      </c>
      <c r="B33" s="52">
        <f>SUM(B29:B32)</f>
        <v>65455.15</v>
      </c>
      <c r="C33" s="52">
        <f aca="true" t="shared" si="7" ref="C33:H33">SUM(C29:C32)</f>
        <v>47661.81999999999</v>
      </c>
      <c r="D33" s="52">
        <f t="shared" si="7"/>
        <v>37081</v>
      </c>
      <c r="E33" s="52">
        <f t="shared" si="7"/>
        <v>52382.689999999995</v>
      </c>
      <c r="F33" s="52">
        <f t="shared" si="7"/>
        <v>31801.490000000005</v>
      </c>
      <c r="G33" s="52">
        <f t="shared" si="7"/>
        <v>42443.53999999999</v>
      </c>
      <c r="H33" s="52">
        <f t="shared" si="7"/>
        <v>56846.53</v>
      </c>
      <c r="I33" s="91">
        <f t="shared" si="0"/>
        <v>333672.22</v>
      </c>
      <c r="J33" s="19"/>
      <c r="K33" s="7"/>
    </row>
    <row r="34" spans="1:11" ht="12.75">
      <c r="A34" s="15">
        <v>44713</v>
      </c>
      <c r="B34" s="58">
        <f>31810.79+83.2-12.92</f>
        <v>31881.070000000003</v>
      </c>
      <c r="C34" s="32">
        <f>39671.88+58.91-2.32</f>
        <v>39728.47</v>
      </c>
      <c r="D34" s="32">
        <f>34442.47+47.99-184.69</f>
        <v>34305.77</v>
      </c>
      <c r="E34" s="32">
        <f>40810.22+70.01-3.75</f>
        <v>40876.48</v>
      </c>
      <c r="F34" s="32">
        <f>30044.19+46.79-33.63</f>
        <v>30057.35</v>
      </c>
      <c r="G34" s="32">
        <f>42519.43-443.08</f>
        <v>42076.35</v>
      </c>
      <c r="H34" s="32">
        <f>51565.02-5170+71.66-2.22</f>
        <v>46464.46</v>
      </c>
      <c r="I34" s="91">
        <f t="shared" si="0"/>
        <v>265389.95</v>
      </c>
      <c r="J34" s="19"/>
      <c r="K34" s="7"/>
    </row>
    <row r="35" spans="1:11" ht="25.5">
      <c r="A35" s="45" t="s">
        <v>37</v>
      </c>
      <c r="B35" s="59">
        <v>24075.71</v>
      </c>
      <c r="C35" s="60">
        <v>3439.81</v>
      </c>
      <c r="D35" s="60">
        <v>2027.39</v>
      </c>
      <c r="E35" s="60">
        <v>12851.46</v>
      </c>
      <c r="F35" s="60">
        <v>1513.21</v>
      </c>
      <c r="G35" s="60">
        <v>0</v>
      </c>
      <c r="H35" s="60">
        <v>0</v>
      </c>
      <c r="I35" s="91">
        <f t="shared" si="0"/>
        <v>43907.579999999994</v>
      </c>
      <c r="J35" s="57"/>
      <c r="K35" s="7"/>
    </row>
    <row r="36" spans="1:11" ht="25.5">
      <c r="A36" s="49" t="s">
        <v>38</v>
      </c>
      <c r="B36" s="59">
        <v>0</v>
      </c>
      <c r="C36" s="60">
        <v>83.06</v>
      </c>
      <c r="D36" s="60">
        <v>77.32</v>
      </c>
      <c r="E36" s="60">
        <v>0</v>
      </c>
      <c r="F36" s="60">
        <v>208.32</v>
      </c>
      <c r="G36" s="60">
        <v>0</v>
      </c>
      <c r="H36" s="60">
        <v>0</v>
      </c>
      <c r="I36" s="91">
        <f t="shared" si="0"/>
        <v>368.7</v>
      </c>
      <c r="J36" s="57"/>
      <c r="K36" s="7"/>
    </row>
    <row r="37" spans="1:11" ht="25.5">
      <c r="A37" s="49" t="s">
        <v>83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60">
        <v>15.29</v>
      </c>
      <c r="H37" s="60">
        <v>0</v>
      </c>
      <c r="I37" s="91">
        <f t="shared" si="0"/>
        <v>15.29</v>
      </c>
      <c r="J37" s="57"/>
      <c r="K37" s="7"/>
    </row>
    <row r="38" spans="1:11" ht="25.5">
      <c r="A38" s="62" t="s">
        <v>39</v>
      </c>
      <c r="B38" s="58">
        <f>SUM(B34:B37)</f>
        <v>55956.78</v>
      </c>
      <c r="C38" s="58">
        <f aca="true" t="shared" si="8" ref="C38:H38">SUM(C34:C37)</f>
        <v>43251.34</v>
      </c>
      <c r="D38" s="58">
        <f t="shared" si="8"/>
        <v>36410.479999999996</v>
      </c>
      <c r="E38" s="58">
        <f t="shared" si="8"/>
        <v>53727.94</v>
      </c>
      <c r="F38" s="58">
        <f t="shared" si="8"/>
        <v>31778.879999999997</v>
      </c>
      <c r="G38" s="58">
        <f t="shared" si="8"/>
        <v>42091.64</v>
      </c>
      <c r="H38" s="58">
        <f t="shared" si="8"/>
        <v>46464.46</v>
      </c>
      <c r="I38" s="91">
        <f t="shared" si="0"/>
        <v>309681.52</v>
      </c>
      <c r="J38" s="63"/>
      <c r="K38" s="7"/>
    </row>
    <row r="39" spans="1:11" ht="12.75">
      <c r="A39" s="16" t="s">
        <v>6</v>
      </c>
      <c r="B39" s="35">
        <f>B25+B29+B34</f>
        <v>92439.66</v>
      </c>
      <c r="C39" s="35">
        <f>C25+C29+C34</f>
        <v>119059.59</v>
      </c>
      <c r="D39" s="35">
        <f>D25+D29+D34</f>
        <v>102963.66999999998</v>
      </c>
      <c r="E39" s="35">
        <f>E25+E29+E34</f>
        <v>122684.51000000001</v>
      </c>
      <c r="F39" s="35">
        <f>F25+F29+F34</f>
        <v>89895.14000000001</v>
      </c>
      <c r="G39" s="35">
        <f>G25+G29+G34</f>
        <v>126359.03</v>
      </c>
      <c r="H39" s="35">
        <f>H25+H29+H34</f>
        <v>155080.4</v>
      </c>
      <c r="I39" s="91">
        <f>SUM(B39:H39)</f>
        <v>808482.0000000001</v>
      </c>
      <c r="J39" s="19"/>
      <c r="K39" s="7"/>
    </row>
    <row r="40" spans="1:11" ht="25.5">
      <c r="A40" s="51" t="s">
        <v>40</v>
      </c>
      <c r="B40" s="35">
        <f>B26+B30+B35</f>
        <v>74187.5</v>
      </c>
      <c r="C40" s="35">
        <f aca="true" t="shared" si="9" ref="C40:H40">C26+C30+C35</f>
        <v>13345.93</v>
      </c>
      <c r="D40" s="35">
        <f t="shared" si="9"/>
        <v>5625.02</v>
      </c>
      <c r="E40" s="35">
        <f t="shared" si="9"/>
        <v>27565.41</v>
      </c>
      <c r="F40" s="35">
        <f t="shared" si="9"/>
        <v>3772.36</v>
      </c>
      <c r="G40" s="35">
        <f t="shared" si="9"/>
        <v>140.58</v>
      </c>
      <c r="H40" s="35">
        <f t="shared" si="9"/>
        <v>0</v>
      </c>
      <c r="I40" s="91">
        <f t="shared" si="0"/>
        <v>124636.8</v>
      </c>
      <c r="J40" s="4"/>
      <c r="K40" s="7"/>
    </row>
    <row r="41" spans="1:11" ht="25.5">
      <c r="A41" s="51" t="s">
        <v>41</v>
      </c>
      <c r="B41" s="35">
        <f>B27+B31+B36</f>
        <v>0</v>
      </c>
      <c r="C41" s="35">
        <f aca="true" t="shared" si="10" ref="C41:H41">C27+C31+C36</f>
        <v>197.28</v>
      </c>
      <c r="D41" s="35">
        <f t="shared" si="10"/>
        <v>77.32</v>
      </c>
      <c r="E41" s="35">
        <f t="shared" si="10"/>
        <v>0</v>
      </c>
      <c r="F41" s="35">
        <f t="shared" si="10"/>
        <v>208.32</v>
      </c>
      <c r="G41" s="35">
        <f t="shared" si="10"/>
        <v>0</v>
      </c>
      <c r="H41" s="35">
        <f t="shared" si="10"/>
        <v>0</v>
      </c>
      <c r="I41" s="91">
        <f t="shared" si="0"/>
        <v>482.92</v>
      </c>
      <c r="J41" s="4"/>
      <c r="K41" s="7"/>
    </row>
    <row r="42" spans="1:11" ht="25.5">
      <c r="A42" s="51" t="s">
        <v>84</v>
      </c>
      <c r="B42" s="35">
        <f>B32+B37</f>
        <v>0</v>
      </c>
      <c r="C42" s="35">
        <f aca="true" t="shared" si="11" ref="C42:H42">C32+C37</f>
        <v>0</v>
      </c>
      <c r="D42" s="35">
        <f t="shared" si="11"/>
        <v>0</v>
      </c>
      <c r="E42" s="35">
        <f t="shared" si="11"/>
        <v>0</v>
      </c>
      <c r="F42" s="35">
        <f t="shared" si="11"/>
        <v>0</v>
      </c>
      <c r="G42" s="35">
        <f t="shared" si="11"/>
        <v>269.85</v>
      </c>
      <c r="H42" s="35">
        <f t="shared" si="11"/>
        <v>0</v>
      </c>
      <c r="I42" s="91">
        <f t="shared" si="0"/>
        <v>269.85</v>
      </c>
      <c r="J42" s="4"/>
      <c r="K42" s="7"/>
    </row>
    <row r="43" spans="1:11" ht="51">
      <c r="A43" s="51" t="s">
        <v>85</v>
      </c>
      <c r="B43" s="35">
        <f>B39+B40+B41+B42</f>
        <v>166627.16</v>
      </c>
      <c r="C43" s="35">
        <f>C39+C40+C41+C42</f>
        <v>132602.8</v>
      </c>
      <c r="D43" s="35">
        <f>D39+D40+D41+D42</f>
        <v>108666.01</v>
      </c>
      <c r="E43" s="35">
        <f>E39+E40+E41+E42</f>
        <v>150249.92</v>
      </c>
      <c r="F43" s="35">
        <f>F39+F40+F41+F42</f>
        <v>93875.82000000002</v>
      </c>
      <c r="G43" s="35">
        <f>G39+G40+G41+G42</f>
        <v>126769.46</v>
      </c>
      <c r="H43" s="35">
        <f>H39+H40+H41+H42</f>
        <v>155080.4</v>
      </c>
      <c r="I43" s="91">
        <f t="shared" si="0"/>
        <v>933871.5700000001</v>
      </c>
      <c r="J43" s="19"/>
      <c r="K43" s="7"/>
    </row>
    <row r="44" spans="1:11" ht="12.75">
      <c r="A44" s="15">
        <v>44743</v>
      </c>
      <c r="B44" s="38">
        <f>31810.78+398.45-370.03</f>
        <v>31839.2</v>
      </c>
      <c r="C44" s="38">
        <f>39671.88+283.87-85.95</f>
        <v>39869.8</v>
      </c>
      <c r="D44" s="32">
        <f>34442.47-126.52</f>
        <v>34315.950000000004</v>
      </c>
      <c r="E44" s="32">
        <f>40810.22+331.7-3.21</f>
        <v>41138.71</v>
      </c>
      <c r="F44" s="38">
        <f>30044.2-55.33</f>
        <v>29988.87</v>
      </c>
      <c r="G44" s="32">
        <f>42519.42-388.68</f>
        <v>42130.74</v>
      </c>
      <c r="H44" s="38">
        <f>51565.03+343.8+5190-37.03</f>
        <v>57061.8</v>
      </c>
      <c r="I44" s="91">
        <f t="shared" si="0"/>
        <v>276345.07</v>
      </c>
      <c r="J44" s="19"/>
      <c r="K44" s="7"/>
    </row>
    <row r="45" spans="1:11" ht="25.5">
      <c r="A45" s="49" t="s">
        <v>43</v>
      </c>
      <c r="B45" s="91">
        <v>0</v>
      </c>
      <c r="C45" s="54">
        <v>132.48</v>
      </c>
      <c r="D45" s="54">
        <v>0</v>
      </c>
      <c r="E45" s="54">
        <v>0</v>
      </c>
      <c r="F45" s="54">
        <v>84.8</v>
      </c>
      <c r="G45" s="54">
        <v>0</v>
      </c>
      <c r="H45" s="54">
        <v>0</v>
      </c>
      <c r="I45" s="91">
        <f t="shared" si="0"/>
        <v>217.27999999999997</v>
      </c>
      <c r="J45" s="56"/>
      <c r="K45" s="7"/>
    </row>
    <row r="46" spans="1:11" ht="25.5">
      <c r="A46" s="49" t="s">
        <v>44</v>
      </c>
      <c r="B46" s="54">
        <v>22180.28</v>
      </c>
      <c r="C46" s="54">
        <v>5036.74</v>
      </c>
      <c r="D46" s="54">
        <v>2356.29</v>
      </c>
      <c r="E46" s="54">
        <v>9831.28</v>
      </c>
      <c r="F46" s="54">
        <v>3086.87</v>
      </c>
      <c r="G46" s="54">
        <v>0</v>
      </c>
      <c r="H46" s="54">
        <v>0</v>
      </c>
      <c r="I46" s="91">
        <f t="shared" si="0"/>
        <v>42491.46</v>
      </c>
      <c r="J46" s="56"/>
      <c r="K46" s="7"/>
    </row>
    <row r="47" spans="1:11" ht="25.5">
      <c r="A47" s="62" t="s">
        <v>45</v>
      </c>
      <c r="B47" s="38">
        <f aca="true" t="shared" si="12" ref="B47:H47">B44+B45+B46</f>
        <v>54019.479999999996</v>
      </c>
      <c r="C47" s="38">
        <f t="shared" si="12"/>
        <v>45039.020000000004</v>
      </c>
      <c r="D47" s="38">
        <f t="shared" si="12"/>
        <v>36672.240000000005</v>
      </c>
      <c r="E47" s="38">
        <f t="shared" si="12"/>
        <v>50969.99</v>
      </c>
      <c r="F47" s="38">
        <f t="shared" si="12"/>
        <v>33160.54</v>
      </c>
      <c r="G47" s="38">
        <f t="shared" si="12"/>
        <v>42130.74</v>
      </c>
      <c r="H47" s="38">
        <f t="shared" si="12"/>
        <v>57061.8</v>
      </c>
      <c r="I47" s="91">
        <f t="shared" si="0"/>
        <v>319053.81</v>
      </c>
      <c r="J47" s="65"/>
      <c r="K47" s="7"/>
    </row>
    <row r="48" spans="1:11" ht="12.75">
      <c r="A48" s="15">
        <v>44774</v>
      </c>
      <c r="B48" s="38">
        <f>31930.07+171.45+376.37-2.51</f>
        <v>32475.38</v>
      </c>
      <c r="C48" s="38">
        <f>39771.3-2756.15+123.78-0.96</f>
        <v>37137.97</v>
      </c>
      <c r="D48" s="38">
        <f>34545.43+436.55-222.46</f>
        <v>34759.520000000004</v>
      </c>
      <c r="E48" s="38">
        <f>40969.98+146.18+479.65-5.66</f>
        <v>41590.15</v>
      </c>
      <c r="F48" s="38">
        <f>29893.94+94.14+359.53+1281.2-3.56</f>
        <v>31625.249999999996</v>
      </c>
      <c r="G48" s="32">
        <f>42681.7+495.97-1183.83</f>
        <v>41993.84</v>
      </c>
      <c r="H48" s="38">
        <f>51071.58-5190+147.06+608.08-2.44</f>
        <v>46634.28</v>
      </c>
      <c r="I48" s="91">
        <f t="shared" si="0"/>
        <v>266216.39</v>
      </c>
      <c r="J48" s="19"/>
      <c r="K48" s="7"/>
    </row>
    <row r="49" spans="1:11" ht="25.5">
      <c r="A49" s="49" t="s">
        <v>46</v>
      </c>
      <c r="B49" s="54">
        <v>0</v>
      </c>
      <c r="C49" s="54">
        <v>0</v>
      </c>
      <c r="D49" s="54">
        <v>90.16</v>
      </c>
      <c r="E49" s="54">
        <v>17.03</v>
      </c>
      <c r="F49" s="54">
        <v>0</v>
      </c>
      <c r="G49" s="54">
        <v>0</v>
      </c>
      <c r="H49" s="54">
        <v>0</v>
      </c>
      <c r="I49" s="91">
        <f t="shared" si="0"/>
        <v>107.19</v>
      </c>
      <c r="J49" s="57"/>
      <c r="K49" s="7"/>
    </row>
    <row r="50" spans="1:11" ht="25.5">
      <c r="A50" s="49" t="s">
        <v>47</v>
      </c>
      <c r="B50" s="54">
        <v>37343.64</v>
      </c>
      <c r="C50" s="54">
        <v>3200.05</v>
      </c>
      <c r="D50" s="54">
        <v>1955.49</v>
      </c>
      <c r="E50" s="54">
        <v>8664.38</v>
      </c>
      <c r="F50" s="54">
        <v>4470.51</v>
      </c>
      <c r="G50" s="54">
        <v>0</v>
      </c>
      <c r="H50" s="54">
        <v>0</v>
      </c>
      <c r="I50" s="91">
        <f t="shared" si="0"/>
        <v>55634.07</v>
      </c>
      <c r="J50" s="57"/>
      <c r="K50" s="7"/>
    </row>
    <row r="51" spans="1:11" ht="25.5">
      <c r="A51" s="62" t="s">
        <v>48</v>
      </c>
      <c r="B51" s="38">
        <f aca="true" t="shared" si="13" ref="B51:H51">SUM(B48:B50)</f>
        <v>69819.02</v>
      </c>
      <c r="C51" s="38">
        <f t="shared" si="13"/>
        <v>40338.020000000004</v>
      </c>
      <c r="D51" s="38">
        <f t="shared" si="13"/>
        <v>36805.170000000006</v>
      </c>
      <c r="E51" s="38">
        <f t="shared" si="13"/>
        <v>50271.56</v>
      </c>
      <c r="F51" s="38">
        <f t="shared" si="13"/>
        <v>36095.759999999995</v>
      </c>
      <c r="G51" s="38">
        <f t="shared" si="13"/>
        <v>41993.84</v>
      </c>
      <c r="H51" s="38">
        <f t="shared" si="13"/>
        <v>46634.28</v>
      </c>
      <c r="I51" s="91">
        <f t="shared" si="0"/>
        <v>321957.65</v>
      </c>
      <c r="J51" s="19"/>
      <c r="K51" s="7"/>
    </row>
    <row r="52" spans="1:11" ht="12.75">
      <c r="A52" s="15">
        <v>44805</v>
      </c>
      <c r="B52" s="38">
        <f>32050.97-5.22</f>
        <v>32045.75</v>
      </c>
      <c r="C52" s="38">
        <f>39872.08+271.83-238.48</f>
        <v>39905.43</v>
      </c>
      <c r="D52" s="38">
        <f>34649.79-476.48</f>
        <v>34173.31</v>
      </c>
      <c r="E52" s="38">
        <f>40210.15+319.02-86.81</f>
        <v>40442.36</v>
      </c>
      <c r="F52" s="38">
        <f>29985.64-1281.2+205.75-1.93</f>
        <v>28908.26</v>
      </c>
      <c r="G52" s="32">
        <f>42846.18-141.64</f>
        <v>42704.54</v>
      </c>
      <c r="H52" s="38">
        <f>51249.19+326.15-2.86</f>
        <v>51572.48</v>
      </c>
      <c r="I52" s="91">
        <f t="shared" si="0"/>
        <v>269752.13</v>
      </c>
      <c r="J52" s="19"/>
      <c r="K52" s="7"/>
    </row>
    <row r="53" spans="1:11" ht="25.5">
      <c r="A53" s="49" t="s">
        <v>49</v>
      </c>
      <c r="B53" s="54">
        <v>0</v>
      </c>
      <c r="C53" s="54">
        <v>132.48</v>
      </c>
      <c r="D53" s="54">
        <v>0</v>
      </c>
      <c r="E53" s="54">
        <v>0</v>
      </c>
      <c r="F53" s="54">
        <v>145.29</v>
      </c>
      <c r="G53" s="54">
        <v>0</v>
      </c>
      <c r="H53" s="54">
        <v>0</v>
      </c>
      <c r="I53" s="91">
        <f t="shared" si="0"/>
        <v>277.77</v>
      </c>
      <c r="J53" s="56"/>
      <c r="K53" s="7"/>
    </row>
    <row r="54" spans="1:11" ht="25.5">
      <c r="A54" s="49" t="s">
        <v>50</v>
      </c>
      <c r="B54" s="54">
        <v>33675.15</v>
      </c>
      <c r="C54" s="54">
        <v>4888.89</v>
      </c>
      <c r="D54" s="54">
        <v>5577.73</v>
      </c>
      <c r="E54" s="54">
        <v>10200.5</v>
      </c>
      <c r="F54" s="54">
        <v>4060.32</v>
      </c>
      <c r="G54" s="54">
        <v>0</v>
      </c>
      <c r="H54" s="54">
        <v>0</v>
      </c>
      <c r="I54" s="91">
        <f t="shared" si="0"/>
        <v>58402.590000000004</v>
      </c>
      <c r="J54" s="56"/>
      <c r="K54" s="7"/>
    </row>
    <row r="55" spans="1:11" ht="25.5">
      <c r="A55" s="62" t="s">
        <v>51</v>
      </c>
      <c r="B55" s="38">
        <f>B52+B53+B54</f>
        <v>65720.9</v>
      </c>
      <c r="C55" s="38">
        <f aca="true" t="shared" si="14" ref="C55:H55">C52+C53+C54</f>
        <v>44926.8</v>
      </c>
      <c r="D55" s="38">
        <f t="shared" si="14"/>
        <v>39751.03999999999</v>
      </c>
      <c r="E55" s="38">
        <f t="shared" si="14"/>
        <v>50642.86</v>
      </c>
      <c r="F55" s="38">
        <f t="shared" si="14"/>
        <v>33113.87</v>
      </c>
      <c r="G55" s="38">
        <f t="shared" si="14"/>
        <v>42704.54</v>
      </c>
      <c r="H55" s="38">
        <f t="shared" si="14"/>
        <v>51572.48</v>
      </c>
      <c r="I55" s="91">
        <f t="shared" si="0"/>
        <v>328432.48999999993</v>
      </c>
      <c r="J55" s="19"/>
      <c r="K55" s="7"/>
    </row>
    <row r="56" spans="1:11" ht="12.75">
      <c r="A56" s="16" t="s">
        <v>7</v>
      </c>
      <c r="B56" s="35">
        <f aca="true" t="shared" si="15" ref="B56:H56">B44+B48+B52</f>
        <v>96360.33</v>
      </c>
      <c r="C56" s="35">
        <f t="shared" si="15"/>
        <v>116913.20000000001</v>
      </c>
      <c r="D56" s="35">
        <f t="shared" si="15"/>
        <v>103248.78</v>
      </c>
      <c r="E56" s="35">
        <f t="shared" si="15"/>
        <v>123171.22</v>
      </c>
      <c r="F56" s="35">
        <f t="shared" si="15"/>
        <v>90522.37999999999</v>
      </c>
      <c r="G56" s="35">
        <f t="shared" si="15"/>
        <v>126829.12</v>
      </c>
      <c r="H56" s="35">
        <f t="shared" si="15"/>
        <v>155268.56</v>
      </c>
      <c r="I56" s="91">
        <f t="shared" si="0"/>
        <v>812313.5900000001</v>
      </c>
      <c r="J56" s="19"/>
      <c r="K56" s="7"/>
    </row>
    <row r="57" spans="1:11" ht="25.5">
      <c r="A57" s="51" t="s">
        <v>52</v>
      </c>
      <c r="B57" s="35">
        <f aca="true" t="shared" si="16" ref="B57:H57">B46+B50+B54</f>
        <v>93199.07</v>
      </c>
      <c r="C57" s="35">
        <f t="shared" si="16"/>
        <v>13125.68</v>
      </c>
      <c r="D57" s="35">
        <f t="shared" si="16"/>
        <v>9889.509999999998</v>
      </c>
      <c r="E57" s="35">
        <f t="shared" si="16"/>
        <v>28696.16</v>
      </c>
      <c r="F57" s="35">
        <f t="shared" si="16"/>
        <v>11617.7</v>
      </c>
      <c r="G57" s="35">
        <f t="shared" si="16"/>
        <v>0</v>
      </c>
      <c r="H57" s="35">
        <f t="shared" si="16"/>
        <v>0</v>
      </c>
      <c r="I57" s="91">
        <f t="shared" si="0"/>
        <v>156528.12</v>
      </c>
      <c r="J57" s="19"/>
      <c r="K57" s="7"/>
    </row>
    <row r="58" spans="1:11" ht="25.5">
      <c r="A58" s="51" t="s">
        <v>53</v>
      </c>
      <c r="B58" s="35">
        <f aca="true" t="shared" si="17" ref="B58:H58">B45+B49+B53</f>
        <v>0</v>
      </c>
      <c r="C58" s="35">
        <f t="shared" si="17"/>
        <v>264.96</v>
      </c>
      <c r="D58" s="35">
        <f t="shared" si="17"/>
        <v>90.16</v>
      </c>
      <c r="E58" s="35">
        <f t="shared" si="17"/>
        <v>17.03</v>
      </c>
      <c r="F58" s="35">
        <f t="shared" si="17"/>
        <v>230.08999999999997</v>
      </c>
      <c r="G58" s="35">
        <f t="shared" si="17"/>
        <v>0</v>
      </c>
      <c r="H58" s="35">
        <f t="shared" si="17"/>
        <v>0</v>
      </c>
      <c r="I58" s="91">
        <f t="shared" si="0"/>
        <v>602.24</v>
      </c>
      <c r="J58" s="19"/>
      <c r="K58" s="7"/>
    </row>
    <row r="59" spans="1:11" ht="38.25">
      <c r="A59" s="51" t="s">
        <v>54</v>
      </c>
      <c r="B59" s="35">
        <f aca="true" t="shared" si="18" ref="B59:H59">B56+B57+B58</f>
        <v>189559.40000000002</v>
      </c>
      <c r="C59" s="35">
        <f t="shared" si="18"/>
        <v>130303.84000000001</v>
      </c>
      <c r="D59" s="35">
        <f t="shared" si="18"/>
        <v>113228.45</v>
      </c>
      <c r="E59" s="35">
        <f t="shared" si="18"/>
        <v>151884.41</v>
      </c>
      <c r="F59" s="35">
        <f t="shared" si="18"/>
        <v>102370.16999999998</v>
      </c>
      <c r="G59" s="35">
        <f t="shared" si="18"/>
        <v>126829.12</v>
      </c>
      <c r="H59" s="35">
        <f t="shared" si="18"/>
        <v>155268.56</v>
      </c>
      <c r="I59" s="91">
        <f t="shared" si="0"/>
        <v>969443.95</v>
      </c>
      <c r="J59" s="4"/>
      <c r="K59" s="7"/>
    </row>
    <row r="60" spans="1:11" ht="12.75">
      <c r="A60" s="15">
        <v>44835</v>
      </c>
      <c r="B60" s="32">
        <f>32083.25+4846.49+377.01+97.61-14.56</f>
        <v>37389.8</v>
      </c>
      <c r="C60" s="32">
        <f>39898.98+5899.76+269.01+117.05-115.14</f>
        <v>46069.66000000001</v>
      </c>
      <c r="D60" s="32">
        <f>34433.22+5521.65+110.46+200-149.05</f>
        <v>40116.28</v>
      </c>
      <c r="E60" s="38">
        <f>40251.72+6147.97+318.02+122.88-131.07</f>
        <v>46709.52</v>
      </c>
      <c r="F60" s="32">
        <f>30010.12+4554.09+208+91.57+457.35-38.54</f>
        <v>35282.59</v>
      </c>
      <c r="G60" s="32">
        <f>42890.1-693.2+6354.85-3796.02</f>
        <v>44755.73</v>
      </c>
      <c r="H60" s="38">
        <f>51296.61+7670.46+321.38+153.63+5944-1.6</f>
        <v>65384.479999999996</v>
      </c>
      <c r="I60" s="91">
        <f t="shared" si="0"/>
        <v>315708.06</v>
      </c>
      <c r="J60" s="19"/>
      <c r="K60" s="7"/>
    </row>
    <row r="61" spans="1:11" ht="25.5">
      <c r="A61" s="49" t="s">
        <v>55</v>
      </c>
      <c r="B61" s="60">
        <v>0</v>
      </c>
      <c r="C61" s="60">
        <v>114.22</v>
      </c>
      <c r="D61" s="60">
        <v>147.86</v>
      </c>
      <c r="E61" s="60">
        <v>83.06</v>
      </c>
      <c r="F61" s="60">
        <v>20</v>
      </c>
      <c r="G61" s="60">
        <v>0</v>
      </c>
      <c r="H61" s="60">
        <v>0</v>
      </c>
      <c r="I61" s="91">
        <f t="shared" si="0"/>
        <v>365.14000000000004</v>
      </c>
      <c r="J61" s="57"/>
      <c r="K61" s="7"/>
    </row>
    <row r="62" spans="1:11" ht="25.5">
      <c r="A62" s="49" t="s">
        <v>56</v>
      </c>
      <c r="B62" s="60">
        <v>30280.14</v>
      </c>
      <c r="C62" s="60">
        <v>3897.22</v>
      </c>
      <c r="D62" s="60">
        <v>6384.36</v>
      </c>
      <c r="E62" s="60">
        <v>9928.18</v>
      </c>
      <c r="F62" s="60">
        <v>4523.41</v>
      </c>
      <c r="G62" s="60">
        <v>0</v>
      </c>
      <c r="H62" s="60">
        <v>0</v>
      </c>
      <c r="I62" s="91">
        <f t="shared" si="0"/>
        <v>55013.31</v>
      </c>
      <c r="J62" s="57"/>
      <c r="K62" s="7"/>
    </row>
    <row r="63" spans="1:11" ht="12.75">
      <c r="A63" s="62" t="s">
        <v>57</v>
      </c>
      <c r="B63" s="32">
        <f aca="true" t="shared" si="19" ref="B63:H63">SUM(B60:B62)</f>
        <v>67669.94</v>
      </c>
      <c r="C63" s="32">
        <f t="shared" si="19"/>
        <v>50081.10000000001</v>
      </c>
      <c r="D63" s="32">
        <f t="shared" si="19"/>
        <v>46648.5</v>
      </c>
      <c r="E63" s="32">
        <f t="shared" si="19"/>
        <v>56720.759999999995</v>
      </c>
      <c r="F63" s="32">
        <f t="shared" si="19"/>
        <v>39826</v>
      </c>
      <c r="G63" s="32">
        <f t="shared" si="19"/>
        <v>44755.73</v>
      </c>
      <c r="H63" s="32">
        <f t="shared" si="19"/>
        <v>65384.479999999996</v>
      </c>
      <c r="I63" s="91">
        <f t="shared" si="0"/>
        <v>371086.50999999995</v>
      </c>
      <c r="J63" s="19"/>
      <c r="K63" s="7"/>
    </row>
    <row r="64" spans="1:11" ht="12.75">
      <c r="A64" s="39">
        <v>44866</v>
      </c>
      <c r="B64" s="11">
        <f>10553.7+26331.48+322.31+11087.01-12.54</f>
        <v>48281.96</v>
      </c>
      <c r="C64" s="11">
        <f>13124.66+32053.97+13491.78-1137.82</f>
        <v>57532.590000000004</v>
      </c>
      <c r="D64" s="11">
        <f>11326.72+29999.74-200+12546.95+1000-232.67</f>
        <v>54440.740000000005</v>
      </c>
      <c r="E64" s="11">
        <f>13240.7+33402.55+269.04+14064.8-2.61</f>
        <v>60974.479999999996</v>
      </c>
      <c r="F64" s="11">
        <f>9871.75+24742.81-457.35+175.96+10416.19+1402.02-0.85</f>
        <v>46150.53</v>
      </c>
      <c r="G64" s="11">
        <f>14108.59+34526.53+14537.61-14951.85</f>
        <v>48220.88</v>
      </c>
      <c r="H64" s="11">
        <f>16873.88+41674.38-5944+272.11+17545.66-5.99</f>
        <v>70416.04</v>
      </c>
      <c r="I64" s="91">
        <f t="shared" si="0"/>
        <v>386017.22000000003</v>
      </c>
      <c r="J64" s="19"/>
      <c r="K64" s="7"/>
    </row>
    <row r="65" spans="1:11" ht="25.5">
      <c r="A65" s="49" t="s">
        <v>58</v>
      </c>
      <c r="B65" s="61">
        <v>0</v>
      </c>
      <c r="C65" s="61">
        <v>0</v>
      </c>
      <c r="D65" s="61">
        <v>230.92</v>
      </c>
      <c r="E65" s="61">
        <v>0</v>
      </c>
      <c r="F65" s="61">
        <v>0</v>
      </c>
      <c r="G65" s="61">
        <v>0</v>
      </c>
      <c r="H65" s="61">
        <v>0</v>
      </c>
      <c r="I65" s="91">
        <f t="shared" si="0"/>
        <v>230.92</v>
      </c>
      <c r="J65" s="57"/>
      <c r="K65" s="7"/>
    </row>
    <row r="66" spans="1:11" ht="25.5">
      <c r="A66" s="49" t="s">
        <v>59</v>
      </c>
      <c r="B66" s="61">
        <v>31672.99</v>
      </c>
      <c r="C66" s="61">
        <v>0</v>
      </c>
      <c r="D66" s="61">
        <v>4954.24</v>
      </c>
      <c r="E66" s="61">
        <v>7994.28</v>
      </c>
      <c r="F66" s="61">
        <v>2965.78</v>
      </c>
      <c r="G66" s="61">
        <v>0</v>
      </c>
      <c r="H66" s="61">
        <v>396.86</v>
      </c>
      <c r="I66" s="91">
        <f t="shared" si="0"/>
        <v>47984.15</v>
      </c>
      <c r="J66" s="57"/>
      <c r="K66" s="7"/>
    </row>
    <row r="67" spans="1:11" ht="12.75">
      <c r="A67" s="62" t="s">
        <v>60</v>
      </c>
      <c r="B67" s="11">
        <f aca="true" t="shared" si="20" ref="B67:H67">SUM(B64:B66)</f>
        <v>79954.95</v>
      </c>
      <c r="C67" s="11">
        <f t="shared" si="20"/>
        <v>57532.590000000004</v>
      </c>
      <c r="D67" s="11">
        <f t="shared" si="20"/>
        <v>59625.9</v>
      </c>
      <c r="E67" s="11">
        <f t="shared" si="20"/>
        <v>68968.76</v>
      </c>
      <c r="F67" s="11">
        <f t="shared" si="20"/>
        <v>49116.31</v>
      </c>
      <c r="G67" s="11">
        <f t="shared" si="20"/>
        <v>48220.88</v>
      </c>
      <c r="H67" s="11">
        <f t="shared" si="20"/>
        <v>70812.9</v>
      </c>
      <c r="I67" s="91">
        <f t="shared" si="0"/>
        <v>434232.29000000004</v>
      </c>
      <c r="J67" s="19"/>
      <c r="K67" s="7"/>
    </row>
    <row r="68" spans="1:11" ht="12.75">
      <c r="A68" s="15">
        <v>44896</v>
      </c>
      <c r="B68" s="32">
        <f>5013.01+16854.65+9789.8+1286.43+3642.73+923.33</f>
        <v>37509.950000000004</v>
      </c>
      <c r="C68" s="32">
        <f>6234.22+20517.58+11913.2+1123.6</f>
        <v>39788.6</v>
      </c>
      <c r="D68" s="32">
        <f>5380.19+19202.68+11078.92-1000+1044.92</f>
        <v>35706.71</v>
      </c>
      <c r="E68" s="32">
        <f>6289.33+21380.8+12419.18+4599.7+1171.32</f>
        <v>45860.329999999994</v>
      </c>
      <c r="F68" s="32">
        <f>4689.08+15837.75+9197.47-1402.02+1207.42+3462.51+867.46</f>
        <v>33859.670000000006</v>
      </c>
      <c r="G68" s="32">
        <f>6701.58+22100.25+12836.67+1210.7</f>
        <v>42849.2</v>
      </c>
      <c r="H68" s="32">
        <f>8015.09+26675.56+15492.76+2053.13+5789.39+1461.21</f>
        <v>59487.14</v>
      </c>
      <c r="I68" s="91">
        <f t="shared" si="0"/>
        <v>295061.60000000003</v>
      </c>
      <c r="J68" s="19"/>
      <c r="K68" s="7"/>
    </row>
    <row r="69" spans="1:11" ht="25.5">
      <c r="A69" s="49" t="s">
        <v>61</v>
      </c>
      <c r="B69" s="32"/>
      <c r="C69" s="32"/>
      <c r="D69" s="32"/>
      <c r="E69" s="32"/>
      <c r="F69" s="32"/>
      <c r="G69" s="32"/>
      <c r="H69" s="73"/>
      <c r="I69" s="91">
        <f t="shared" si="0"/>
        <v>0</v>
      </c>
      <c r="J69" s="19"/>
      <c r="K69" s="7"/>
    </row>
    <row r="70" spans="1:11" ht="25.5">
      <c r="A70" s="49" t="s">
        <v>62</v>
      </c>
      <c r="B70" s="32"/>
      <c r="C70" s="32"/>
      <c r="D70" s="32"/>
      <c r="E70" s="32"/>
      <c r="F70" s="32"/>
      <c r="G70" s="32"/>
      <c r="H70" s="73"/>
      <c r="I70" s="91">
        <f t="shared" si="0"/>
        <v>0</v>
      </c>
      <c r="J70" s="19"/>
      <c r="K70" s="7"/>
    </row>
    <row r="71" spans="1:11" ht="12.75">
      <c r="A71" s="62" t="s">
        <v>63</v>
      </c>
      <c r="B71" s="32">
        <f aca="true" t="shared" si="21" ref="B71:H71">SUM(B68:B70)</f>
        <v>37509.950000000004</v>
      </c>
      <c r="C71" s="32">
        <f t="shared" si="21"/>
        <v>39788.6</v>
      </c>
      <c r="D71" s="32">
        <f t="shared" si="21"/>
        <v>35706.71</v>
      </c>
      <c r="E71" s="32">
        <f t="shared" si="21"/>
        <v>45860.329999999994</v>
      </c>
      <c r="F71" s="32">
        <f t="shared" si="21"/>
        <v>33859.670000000006</v>
      </c>
      <c r="G71" s="32">
        <f t="shared" si="21"/>
        <v>42849.2</v>
      </c>
      <c r="H71" s="32">
        <f t="shared" si="21"/>
        <v>59487.14</v>
      </c>
      <c r="I71" s="91">
        <f t="shared" si="0"/>
        <v>295061.60000000003</v>
      </c>
      <c r="J71" s="19"/>
      <c r="K71" s="7"/>
    </row>
    <row r="72" spans="1:11" ht="25.5">
      <c r="A72" s="5" t="s">
        <v>8</v>
      </c>
      <c r="B72" s="35">
        <f aca="true" t="shared" si="22" ref="B72:H72">B60+B64+B68</f>
        <v>123181.71000000002</v>
      </c>
      <c r="C72" s="35">
        <f t="shared" si="22"/>
        <v>143390.85</v>
      </c>
      <c r="D72" s="35">
        <f t="shared" si="22"/>
        <v>130263.73000000001</v>
      </c>
      <c r="E72" s="35">
        <f t="shared" si="22"/>
        <v>153544.33</v>
      </c>
      <c r="F72" s="35">
        <f t="shared" si="22"/>
        <v>115292.79000000001</v>
      </c>
      <c r="G72" s="35">
        <f t="shared" si="22"/>
        <v>135825.81</v>
      </c>
      <c r="H72" s="35">
        <f t="shared" si="22"/>
        <v>195287.65999999997</v>
      </c>
      <c r="I72" s="91">
        <f aca="true" t="shared" si="23" ref="I72:I81">SUM(B72:H72)</f>
        <v>996786.8799999999</v>
      </c>
      <c r="J72" s="19"/>
      <c r="K72" s="7"/>
    </row>
    <row r="73" spans="1:11" ht="25.5">
      <c r="A73" s="51" t="s">
        <v>64</v>
      </c>
      <c r="B73" s="35">
        <f aca="true" t="shared" si="24" ref="B73:H73">B62+B66+B70</f>
        <v>61953.130000000005</v>
      </c>
      <c r="C73" s="35">
        <f t="shared" si="24"/>
        <v>3897.22</v>
      </c>
      <c r="D73" s="35">
        <f t="shared" si="24"/>
        <v>11338.599999999999</v>
      </c>
      <c r="E73" s="35">
        <f t="shared" si="24"/>
        <v>17922.46</v>
      </c>
      <c r="F73" s="35">
        <f t="shared" si="24"/>
        <v>7489.1900000000005</v>
      </c>
      <c r="G73" s="35">
        <f t="shared" si="24"/>
        <v>0</v>
      </c>
      <c r="H73" s="35">
        <f t="shared" si="24"/>
        <v>396.86</v>
      </c>
      <c r="I73" s="91">
        <f t="shared" si="23"/>
        <v>102997.46</v>
      </c>
      <c r="J73" s="19"/>
      <c r="K73" s="7"/>
    </row>
    <row r="74" spans="1:11" ht="25.5">
      <c r="A74" s="51" t="s">
        <v>65</v>
      </c>
      <c r="B74" s="35">
        <f aca="true" t="shared" si="25" ref="B74:H74">B61+B65+B69</f>
        <v>0</v>
      </c>
      <c r="C74" s="35">
        <f t="shared" si="25"/>
        <v>114.22</v>
      </c>
      <c r="D74" s="35">
        <f t="shared" si="25"/>
        <v>378.78</v>
      </c>
      <c r="E74" s="35">
        <f t="shared" si="25"/>
        <v>83.06</v>
      </c>
      <c r="F74" s="35">
        <f t="shared" si="25"/>
        <v>20</v>
      </c>
      <c r="G74" s="35">
        <f t="shared" si="25"/>
        <v>0</v>
      </c>
      <c r="H74" s="35">
        <f t="shared" si="25"/>
        <v>0</v>
      </c>
      <c r="I74" s="91">
        <f t="shared" si="23"/>
        <v>596.06</v>
      </c>
      <c r="J74" s="19"/>
      <c r="K74" s="7"/>
    </row>
    <row r="75" spans="1:11" ht="38.25">
      <c r="A75" s="51" t="s">
        <v>66</v>
      </c>
      <c r="B75" s="35">
        <f aca="true" t="shared" si="26" ref="B75:H75">SUM(B72:B74)</f>
        <v>185134.84000000003</v>
      </c>
      <c r="C75" s="35">
        <f t="shared" si="26"/>
        <v>147402.29</v>
      </c>
      <c r="D75" s="35">
        <f t="shared" si="26"/>
        <v>141981.11000000002</v>
      </c>
      <c r="E75" s="35">
        <f t="shared" si="26"/>
        <v>171549.84999999998</v>
      </c>
      <c r="F75" s="35">
        <f t="shared" si="26"/>
        <v>122801.98000000001</v>
      </c>
      <c r="G75" s="35">
        <f t="shared" si="26"/>
        <v>135825.81</v>
      </c>
      <c r="H75" s="35">
        <f t="shared" si="26"/>
        <v>195684.51999999996</v>
      </c>
      <c r="I75" s="91">
        <f t="shared" si="23"/>
        <v>1100380.4</v>
      </c>
      <c r="J75" s="19"/>
      <c r="K75" s="7"/>
    </row>
    <row r="76" spans="1:11" ht="27.75" customHeight="1">
      <c r="A76" s="20" t="s">
        <v>67</v>
      </c>
      <c r="B76" s="35">
        <f aca="true" t="shared" si="27" ref="B76:H77">B21+B39+B56+B72</f>
        <v>401113.33</v>
      </c>
      <c r="C76" s="35">
        <f t="shared" si="27"/>
        <v>491551.43999999994</v>
      </c>
      <c r="D76" s="35">
        <f t="shared" si="27"/>
        <v>430099.99</v>
      </c>
      <c r="E76" s="35">
        <f t="shared" si="27"/>
        <v>521468.58999999997</v>
      </c>
      <c r="F76" s="35">
        <f t="shared" si="27"/>
        <v>396385.07999999996</v>
      </c>
      <c r="G76" s="35">
        <f>G21+G39+G56+G72</f>
        <v>511570.7</v>
      </c>
      <c r="H76" s="35">
        <f>H21+H39+H56+H72</f>
        <v>654464.9099999999</v>
      </c>
      <c r="I76" s="91">
        <f t="shared" si="23"/>
        <v>3406654.04</v>
      </c>
      <c r="J76" s="4"/>
      <c r="K76" s="7"/>
    </row>
    <row r="77" spans="1:11" ht="40.5" customHeight="1">
      <c r="A77" s="82" t="s">
        <v>68</v>
      </c>
      <c r="B77" s="83">
        <f t="shared" si="27"/>
        <v>327899.07</v>
      </c>
      <c r="C77" s="83">
        <f t="shared" si="27"/>
        <v>41020.68</v>
      </c>
      <c r="D77" s="83">
        <f t="shared" si="27"/>
        <v>32401.87</v>
      </c>
      <c r="E77" s="83">
        <f t="shared" si="27"/>
        <v>103971.07</v>
      </c>
      <c r="F77" s="83">
        <f t="shared" si="27"/>
        <v>22879.25</v>
      </c>
      <c r="G77" s="83">
        <f t="shared" si="27"/>
        <v>140.58</v>
      </c>
      <c r="H77" s="83">
        <f t="shared" si="27"/>
        <v>396.86</v>
      </c>
      <c r="I77" s="91">
        <f t="shared" si="23"/>
        <v>528709.3799999999</v>
      </c>
      <c r="J77" s="4"/>
      <c r="K77" s="7"/>
    </row>
    <row r="78" spans="1:11" ht="40.5" customHeight="1">
      <c r="A78" s="82" t="s">
        <v>69</v>
      </c>
      <c r="B78" s="83">
        <f aca="true" t="shared" si="28" ref="B78:H78">B58+B41+B23+B74</f>
        <v>0</v>
      </c>
      <c r="C78" s="83">
        <f t="shared" si="28"/>
        <v>947.8</v>
      </c>
      <c r="D78" s="83">
        <f t="shared" si="28"/>
        <v>546.26</v>
      </c>
      <c r="E78" s="83">
        <f t="shared" si="28"/>
        <v>100.09</v>
      </c>
      <c r="F78" s="83">
        <f t="shared" si="28"/>
        <v>458.40999999999997</v>
      </c>
      <c r="G78" s="83">
        <f t="shared" si="28"/>
        <v>0</v>
      </c>
      <c r="H78" s="83">
        <f t="shared" si="28"/>
        <v>0</v>
      </c>
      <c r="I78" s="91">
        <f t="shared" si="23"/>
        <v>2052.56</v>
      </c>
      <c r="J78" s="4"/>
      <c r="K78" s="7"/>
    </row>
    <row r="79" spans="1:11" ht="40.5" customHeight="1">
      <c r="A79" s="82" t="s">
        <v>86</v>
      </c>
      <c r="B79" s="83">
        <f aca="true" t="shared" si="29" ref="B79:H79">B42</f>
        <v>0</v>
      </c>
      <c r="C79" s="83">
        <f t="shared" si="29"/>
        <v>0</v>
      </c>
      <c r="D79" s="83">
        <f t="shared" si="29"/>
        <v>0</v>
      </c>
      <c r="E79" s="83">
        <f t="shared" si="29"/>
        <v>0</v>
      </c>
      <c r="F79" s="83">
        <f t="shared" si="29"/>
        <v>0</v>
      </c>
      <c r="G79" s="83">
        <f t="shared" si="29"/>
        <v>269.85</v>
      </c>
      <c r="H79" s="83">
        <f t="shared" si="29"/>
        <v>0</v>
      </c>
      <c r="I79" s="91">
        <f t="shared" si="23"/>
        <v>269.85</v>
      </c>
      <c r="J79" s="4"/>
      <c r="K79" s="7"/>
    </row>
    <row r="80" spans="1:11" ht="51">
      <c r="A80" s="20" t="s">
        <v>70</v>
      </c>
      <c r="B80" s="35">
        <f>B76+B77+B78</f>
        <v>729012.4</v>
      </c>
      <c r="C80" s="35">
        <f aca="true" t="shared" si="30" ref="C80:H80">C76+C77+C78</f>
        <v>533519.92</v>
      </c>
      <c r="D80" s="35">
        <f t="shared" si="30"/>
        <v>463048.12</v>
      </c>
      <c r="E80" s="35">
        <f t="shared" si="30"/>
        <v>625539.7499999999</v>
      </c>
      <c r="F80" s="35">
        <f t="shared" si="30"/>
        <v>419722.73999999993</v>
      </c>
      <c r="G80" s="35">
        <f t="shared" si="30"/>
        <v>511711.28</v>
      </c>
      <c r="H80" s="35">
        <f t="shared" si="30"/>
        <v>654861.7699999999</v>
      </c>
      <c r="I80" s="91">
        <f t="shared" si="23"/>
        <v>3937415.98</v>
      </c>
      <c r="J80" s="4"/>
      <c r="K80" s="7"/>
    </row>
    <row r="81" spans="1:11" ht="63.75">
      <c r="A81" s="20" t="s">
        <v>87</v>
      </c>
      <c r="B81" s="35">
        <f>B79+B80</f>
        <v>729012.4</v>
      </c>
      <c r="C81" s="35">
        <f aca="true" t="shared" si="31" ref="C81:H81">C79+C80</f>
        <v>533519.92</v>
      </c>
      <c r="D81" s="35">
        <f t="shared" si="31"/>
        <v>463048.12</v>
      </c>
      <c r="E81" s="35">
        <f t="shared" si="31"/>
        <v>625539.7499999999</v>
      </c>
      <c r="F81" s="35">
        <f t="shared" si="31"/>
        <v>419722.73999999993</v>
      </c>
      <c r="G81" s="35">
        <f t="shared" si="31"/>
        <v>511981.13</v>
      </c>
      <c r="H81" s="35">
        <f t="shared" si="31"/>
        <v>654861.7699999999</v>
      </c>
      <c r="I81" s="91">
        <f t="shared" si="23"/>
        <v>3937685.8299999996</v>
      </c>
      <c r="J81" s="4"/>
      <c r="K81" s="4"/>
    </row>
    <row r="82" spans="1:11" ht="12.75">
      <c r="A82" s="22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22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0" ht="12.75">
      <c r="A84" s="12"/>
      <c r="B84" s="13"/>
      <c r="F84" s="1"/>
      <c r="G84" s="1"/>
      <c r="H84" s="1"/>
      <c r="I84" s="7"/>
      <c r="J84" s="7"/>
    </row>
    <row r="85" spans="1:10" ht="12.75">
      <c r="A85" s="13"/>
      <c r="B85" s="13"/>
      <c r="I85" s="7"/>
      <c r="J85" s="7"/>
    </row>
    <row r="86" spans="1:10" ht="12.75">
      <c r="A86" s="13"/>
      <c r="B86" s="17"/>
      <c r="I86" s="7"/>
      <c r="J86" s="7"/>
    </row>
    <row r="87" spans="1:10" ht="12.75">
      <c r="A87" s="13"/>
      <c r="B87" s="17"/>
      <c r="I87" s="7"/>
      <c r="J87" s="7"/>
    </row>
    <row r="88" spans="1:10" ht="12.75">
      <c r="A88" s="27" t="s">
        <v>89</v>
      </c>
      <c r="F88" s="7"/>
      <c r="I88" s="7"/>
      <c r="J88" s="7"/>
    </row>
    <row r="89" spans="6:10" ht="12.75">
      <c r="F89" s="27"/>
      <c r="I89" s="7"/>
      <c r="J89" s="7"/>
    </row>
    <row r="90" spans="6:10" ht="12.75">
      <c r="F90" s="7"/>
      <c r="I90" s="7"/>
      <c r="J90" s="7"/>
    </row>
    <row r="91" spans="1:10" ht="66.75" customHeight="1">
      <c r="A91" s="96" t="s">
        <v>0</v>
      </c>
      <c r="B91" s="2" t="s">
        <v>71</v>
      </c>
      <c r="C91" s="2"/>
      <c r="D91" s="5" t="s">
        <v>1</v>
      </c>
      <c r="E91" s="18"/>
      <c r="F91" s="18"/>
      <c r="G91" s="66"/>
      <c r="H91" s="7"/>
      <c r="I91" s="7"/>
      <c r="J91" s="7"/>
    </row>
    <row r="92" spans="1:10" ht="25.5">
      <c r="A92" s="97"/>
      <c r="B92" s="2" t="s">
        <v>2</v>
      </c>
      <c r="C92" s="2" t="s">
        <v>2</v>
      </c>
      <c r="D92" s="2" t="s">
        <v>2</v>
      </c>
      <c r="E92" s="26"/>
      <c r="F92" s="26"/>
      <c r="G92" s="26"/>
      <c r="H92" s="26"/>
      <c r="I92" s="7"/>
      <c r="J92" s="7"/>
    </row>
    <row r="93" spans="1:10" ht="12.75">
      <c r="A93" s="15">
        <v>44562</v>
      </c>
      <c r="B93" s="67">
        <f>2475-65</f>
        <v>2410</v>
      </c>
      <c r="C93" s="32">
        <v>0</v>
      </c>
      <c r="D93" s="32">
        <f>B93+C93</f>
        <v>2410</v>
      </c>
      <c r="E93" s="68"/>
      <c r="F93" s="9"/>
      <c r="G93" s="26"/>
      <c r="H93" s="19"/>
      <c r="I93" s="8"/>
      <c r="J93" s="7"/>
    </row>
    <row r="94" spans="1:10" ht="12.75">
      <c r="A94" s="15">
        <v>44593</v>
      </c>
      <c r="B94" s="67">
        <f>2736-16</f>
        <v>2720</v>
      </c>
      <c r="C94" s="32">
        <v>0</v>
      </c>
      <c r="D94" s="32">
        <f>B94+C94</f>
        <v>2720</v>
      </c>
      <c r="E94" s="68"/>
      <c r="F94" s="9"/>
      <c r="G94" s="26"/>
      <c r="H94" s="19"/>
      <c r="I94" s="8"/>
      <c r="J94" s="7"/>
    </row>
    <row r="95" spans="1:10" ht="12.75">
      <c r="A95" s="15">
        <v>44621</v>
      </c>
      <c r="B95" s="11">
        <f>2736-136</f>
        <v>2600</v>
      </c>
      <c r="C95" s="11">
        <v>0</v>
      </c>
      <c r="D95" s="32">
        <f>B95+C95</f>
        <v>2600</v>
      </c>
      <c r="E95" s="68"/>
      <c r="F95" s="9"/>
      <c r="G95" s="26"/>
      <c r="H95" s="19"/>
      <c r="I95" s="8"/>
      <c r="J95" s="7"/>
    </row>
    <row r="96" spans="1:10" ht="12.75">
      <c r="A96" s="16" t="s">
        <v>5</v>
      </c>
      <c r="B96" s="35">
        <f>SUM(B93:B95)</f>
        <v>7730</v>
      </c>
      <c r="C96" s="35">
        <f>SUM(C93:C95)</f>
        <v>0</v>
      </c>
      <c r="D96" s="35">
        <f>SUM(D93:D95)</f>
        <v>7730</v>
      </c>
      <c r="E96" s="68"/>
      <c r="F96" s="9"/>
      <c r="G96" s="26"/>
      <c r="H96" s="19"/>
      <c r="I96" s="8"/>
      <c r="J96" s="7"/>
    </row>
    <row r="97" spans="1:10" ht="12.75">
      <c r="A97" s="15">
        <v>44652</v>
      </c>
      <c r="B97" s="30">
        <f>2736+16-72</f>
        <v>2680</v>
      </c>
      <c r="C97" s="32">
        <v>0</v>
      </c>
      <c r="D97" s="32">
        <f>B97+C97</f>
        <v>2680</v>
      </c>
      <c r="E97" s="68"/>
      <c r="F97" s="9"/>
      <c r="G97" s="26"/>
      <c r="H97" s="19"/>
      <c r="I97" s="8"/>
      <c r="J97" s="7"/>
    </row>
    <row r="98" spans="1:10" ht="12.75">
      <c r="A98" s="15">
        <v>44682</v>
      </c>
      <c r="B98" s="11">
        <f>2736+136-112</f>
        <v>2760</v>
      </c>
      <c r="C98" s="32">
        <v>0</v>
      </c>
      <c r="D98" s="32">
        <f>B98+C98</f>
        <v>2760</v>
      </c>
      <c r="E98" s="68"/>
      <c r="F98" s="9"/>
      <c r="G98" s="26"/>
      <c r="H98" s="19"/>
      <c r="I98" s="8"/>
      <c r="J98" s="7"/>
    </row>
    <row r="99" spans="1:10" ht="12.75">
      <c r="A99" s="15">
        <v>44713</v>
      </c>
      <c r="B99" s="11">
        <f>2736-16</f>
        <v>2720</v>
      </c>
      <c r="C99" s="32">
        <v>0</v>
      </c>
      <c r="D99" s="32">
        <f>B99+C99</f>
        <v>2720</v>
      </c>
      <c r="E99" s="68"/>
      <c r="F99" s="9"/>
      <c r="G99" s="26"/>
      <c r="H99" s="19"/>
      <c r="I99" s="8"/>
      <c r="J99" s="8"/>
    </row>
    <row r="100" spans="1:10" ht="12.75">
      <c r="A100" s="16" t="s">
        <v>6</v>
      </c>
      <c r="B100" s="35">
        <f>SUM(B97:B99)</f>
        <v>8160</v>
      </c>
      <c r="C100" s="35">
        <f>SUM(C97:C99)</f>
        <v>0</v>
      </c>
      <c r="D100" s="35">
        <f>SUM(D97:D99)</f>
        <v>8160</v>
      </c>
      <c r="E100" s="68"/>
      <c r="F100" s="9"/>
      <c r="G100" s="26"/>
      <c r="H100" s="19"/>
      <c r="I100" s="8"/>
      <c r="J100" s="7"/>
    </row>
    <row r="101" spans="1:10" ht="12.75">
      <c r="A101" s="15">
        <v>44743</v>
      </c>
      <c r="B101" s="11">
        <f>2736-56</f>
        <v>2680</v>
      </c>
      <c r="C101" s="32">
        <v>0</v>
      </c>
      <c r="D101" s="32">
        <f>B101+C101</f>
        <v>2680</v>
      </c>
      <c r="E101" s="68"/>
      <c r="F101" s="9"/>
      <c r="G101" s="26"/>
      <c r="H101" s="19"/>
      <c r="I101" s="8"/>
      <c r="J101" s="7"/>
    </row>
    <row r="102" spans="1:10" ht="25.5">
      <c r="A102" s="93" t="s">
        <v>90</v>
      </c>
      <c r="B102" s="92">
        <v>40</v>
      </c>
      <c r="C102" s="32">
        <v>0</v>
      </c>
      <c r="D102" s="32">
        <f>SUM(B102:C102)</f>
        <v>40</v>
      </c>
      <c r="E102" s="68"/>
      <c r="F102" s="9"/>
      <c r="G102" s="26"/>
      <c r="H102" s="19"/>
      <c r="I102" s="8"/>
      <c r="J102" s="7"/>
    </row>
    <row r="103" spans="1:10" ht="12.75">
      <c r="A103" s="15">
        <v>44774</v>
      </c>
      <c r="B103" s="11">
        <f>2736+16-72</f>
        <v>2680</v>
      </c>
      <c r="C103" s="44">
        <v>0</v>
      </c>
      <c r="D103" s="32">
        <f aca="true" t="shared" si="32" ref="D103:D109">SUM(B103:C103)</f>
        <v>2680</v>
      </c>
      <c r="E103" s="68"/>
      <c r="F103" s="9"/>
      <c r="G103" s="26"/>
      <c r="H103" s="19"/>
      <c r="I103" s="8"/>
      <c r="J103" s="7"/>
    </row>
    <row r="104" spans="1:10" ht="25.5">
      <c r="A104" s="93" t="s">
        <v>91</v>
      </c>
      <c r="B104" s="92">
        <v>40</v>
      </c>
      <c r="C104" s="44">
        <v>0</v>
      </c>
      <c r="D104" s="32">
        <f t="shared" si="32"/>
        <v>40</v>
      </c>
      <c r="E104" s="68"/>
      <c r="F104" s="9"/>
      <c r="G104" s="26"/>
      <c r="H104" s="19"/>
      <c r="I104" s="8"/>
      <c r="J104" s="7"/>
    </row>
    <row r="105" spans="1:10" ht="12.75">
      <c r="A105" s="15">
        <v>44805</v>
      </c>
      <c r="B105" s="11">
        <f>2736-86</f>
        <v>2650</v>
      </c>
      <c r="C105" s="58">
        <v>0</v>
      </c>
      <c r="D105" s="32">
        <f t="shared" si="32"/>
        <v>2650</v>
      </c>
      <c r="E105" s="68"/>
      <c r="F105" s="9"/>
      <c r="G105" s="26"/>
      <c r="H105" s="19"/>
      <c r="I105" s="8"/>
      <c r="J105" s="7"/>
    </row>
    <row r="106" spans="1:10" ht="12.75">
      <c r="A106" s="16" t="s">
        <v>7</v>
      </c>
      <c r="B106" s="35">
        <f>B101+B103+B105</f>
        <v>8010</v>
      </c>
      <c r="C106" s="35">
        <f>SUM(C101:C105)</f>
        <v>0</v>
      </c>
      <c r="D106" s="14">
        <f t="shared" si="32"/>
        <v>8010</v>
      </c>
      <c r="E106" s="68"/>
      <c r="F106" s="9"/>
      <c r="G106" s="26"/>
      <c r="H106" s="19"/>
      <c r="I106" s="8"/>
      <c r="J106" s="7"/>
    </row>
    <row r="107" spans="1:10" ht="25.5">
      <c r="A107" s="51" t="s">
        <v>84</v>
      </c>
      <c r="B107" s="35">
        <f>B102+B104</f>
        <v>80</v>
      </c>
      <c r="C107" s="35">
        <f>C102+C104</f>
        <v>0</v>
      </c>
      <c r="D107" s="14">
        <f t="shared" si="32"/>
        <v>80</v>
      </c>
      <c r="E107" s="68"/>
      <c r="F107" s="9"/>
      <c r="G107" s="26"/>
      <c r="H107" s="19"/>
      <c r="I107" s="8"/>
      <c r="J107" s="7"/>
    </row>
    <row r="108" spans="1:10" ht="38.25">
      <c r="A108" s="51" t="s">
        <v>92</v>
      </c>
      <c r="B108" s="35">
        <f>B106+B107</f>
        <v>8090</v>
      </c>
      <c r="C108" s="35">
        <f>C106+C107</f>
        <v>0</v>
      </c>
      <c r="D108" s="35">
        <f>D106+D107</f>
        <v>8090</v>
      </c>
      <c r="E108" s="68"/>
      <c r="F108" s="9"/>
      <c r="G108" s="26"/>
      <c r="H108" s="19"/>
      <c r="I108" s="8"/>
      <c r="J108" s="7"/>
    </row>
    <row r="109" spans="1:10" ht="12.75">
      <c r="A109" s="15">
        <v>44835</v>
      </c>
      <c r="B109" s="11">
        <f>2736+415-301</f>
        <v>2850</v>
      </c>
      <c r="C109" s="11">
        <v>0</v>
      </c>
      <c r="D109" s="32">
        <f t="shared" si="32"/>
        <v>2850</v>
      </c>
      <c r="E109" s="31"/>
      <c r="F109" s="19"/>
      <c r="G109" s="9"/>
      <c r="H109" s="19"/>
      <c r="I109" s="8"/>
      <c r="J109" s="1"/>
    </row>
    <row r="110" spans="1:11" ht="12.75">
      <c r="A110" s="39">
        <v>44866</v>
      </c>
      <c r="B110" s="11">
        <f>900+2250+960-1150</f>
        <v>2960</v>
      </c>
      <c r="C110" s="11">
        <v>0</v>
      </c>
      <c r="D110" s="32">
        <f>B110+C110</f>
        <v>2960</v>
      </c>
      <c r="E110" s="31"/>
      <c r="F110" s="19"/>
      <c r="G110" s="9"/>
      <c r="H110" s="19"/>
      <c r="I110" s="8"/>
      <c r="J110" s="1"/>
      <c r="K110" s="1"/>
    </row>
    <row r="111" spans="1:11" ht="12.75">
      <c r="A111" s="15">
        <v>44896</v>
      </c>
      <c r="B111" s="11">
        <f>427.5+1439+822+78.81</f>
        <v>2767.31</v>
      </c>
      <c r="C111" s="11">
        <v>0</v>
      </c>
      <c r="D111" s="32">
        <f>B111+C111</f>
        <v>2767.31</v>
      </c>
      <c r="E111" s="31"/>
      <c r="F111" s="19"/>
      <c r="G111" s="9"/>
      <c r="H111" s="19"/>
      <c r="I111" s="8"/>
      <c r="J111" s="1"/>
      <c r="K111" s="1"/>
    </row>
    <row r="112" spans="1:11" ht="25.5">
      <c r="A112" s="5" t="s">
        <v>8</v>
      </c>
      <c r="B112" s="35">
        <f>SUM(B109:B111)</f>
        <v>8577.31</v>
      </c>
      <c r="C112" s="35">
        <f>SUM(C109:C111)</f>
        <v>0</v>
      </c>
      <c r="D112" s="35">
        <f>SUM(D109:D111)</f>
        <v>8577.31</v>
      </c>
      <c r="E112" s="40"/>
      <c r="F112" s="19"/>
      <c r="G112" s="9"/>
      <c r="H112" s="19"/>
      <c r="I112" s="8"/>
      <c r="J112" s="1"/>
      <c r="K112" s="1"/>
    </row>
    <row r="113" spans="1:9" ht="25.5">
      <c r="A113" s="20" t="s">
        <v>9</v>
      </c>
      <c r="B113" s="35">
        <f>B96+B100+B106+B112</f>
        <v>32477.309999999998</v>
      </c>
      <c r="C113" s="35">
        <f>C96+C100+C106+C112</f>
        <v>0</v>
      </c>
      <c r="D113" s="35">
        <f>D96+D100+D106+D112</f>
        <v>32477.309999999998</v>
      </c>
      <c r="E113" s="4"/>
      <c r="F113" s="19"/>
      <c r="G113" s="9"/>
      <c r="H113" s="19"/>
      <c r="I113" s="8"/>
    </row>
    <row r="114" spans="1:9" ht="25.5">
      <c r="A114" s="20" t="s">
        <v>86</v>
      </c>
      <c r="B114" s="35">
        <f>B107</f>
        <v>80</v>
      </c>
      <c r="C114" s="35">
        <f>C107</f>
        <v>0</v>
      </c>
      <c r="D114" s="35">
        <f>D107</f>
        <v>80</v>
      </c>
      <c r="E114" s="4"/>
      <c r="F114" s="19"/>
      <c r="G114" s="9"/>
      <c r="H114" s="19"/>
      <c r="I114" s="8"/>
    </row>
    <row r="115" spans="1:8" ht="38.25">
      <c r="A115" s="20" t="s">
        <v>93</v>
      </c>
      <c r="B115" s="35">
        <f>B113+B114</f>
        <v>32557.309999999998</v>
      </c>
      <c r="C115" s="35">
        <f>C113+C114</f>
        <v>0</v>
      </c>
      <c r="D115" s="35">
        <f>D113+D114</f>
        <v>32557.309999999998</v>
      </c>
      <c r="E115" s="65"/>
      <c r="F115" s="4"/>
      <c r="H115" s="1"/>
    </row>
    <row r="116" spans="1:6" ht="12.75">
      <c r="A116" s="10"/>
      <c r="B116" s="4"/>
      <c r="C116" s="4"/>
      <c r="D116" s="8"/>
      <c r="E116" s="65"/>
      <c r="F116" s="4"/>
    </row>
    <row r="117" spans="1:6" ht="12.75">
      <c r="A117" s="10"/>
      <c r="B117" s="4"/>
      <c r="C117" s="4"/>
      <c r="D117" s="8"/>
      <c r="E117" s="65"/>
      <c r="F117" s="4"/>
    </row>
    <row r="118" spans="1:6" ht="12.75">
      <c r="A118" s="10"/>
      <c r="B118" s="4"/>
      <c r="C118" s="4"/>
      <c r="D118" s="8"/>
      <c r="E118" s="65"/>
      <c r="F118" s="4"/>
    </row>
    <row r="119" spans="1:6" ht="12.75">
      <c r="A119" s="10"/>
      <c r="B119" s="4"/>
      <c r="C119" s="4"/>
      <c r="D119" s="8"/>
      <c r="E119" s="65"/>
      <c r="F119" s="4"/>
    </row>
    <row r="120" spans="1:6" ht="12.75">
      <c r="A120" s="10"/>
      <c r="B120" s="4"/>
      <c r="C120" s="4"/>
      <c r="D120" s="8"/>
      <c r="E120" s="65"/>
      <c r="F120" s="4"/>
    </row>
    <row r="121" ht="12.75">
      <c r="B121" s="13"/>
    </row>
    <row r="122" ht="12.75">
      <c r="A122" s="6"/>
    </row>
    <row r="123" ht="12.75">
      <c r="A123" s="27" t="s">
        <v>88</v>
      </c>
    </row>
    <row r="124" ht="12.75">
      <c r="A124" s="13"/>
    </row>
    <row r="126" spans="1:11" ht="93" customHeight="1">
      <c r="A126" s="96" t="s">
        <v>0</v>
      </c>
      <c r="B126" s="2" t="s">
        <v>15</v>
      </c>
      <c r="C126" s="2" t="s">
        <v>16</v>
      </c>
      <c r="D126" s="2" t="s">
        <v>17</v>
      </c>
      <c r="E126" s="89" t="s">
        <v>3</v>
      </c>
      <c r="F126" s="2" t="s">
        <v>72</v>
      </c>
      <c r="G126" s="2" t="s">
        <v>73</v>
      </c>
      <c r="H126" s="5" t="s">
        <v>74</v>
      </c>
      <c r="I126" s="90" t="s">
        <v>75</v>
      </c>
      <c r="J126" s="89" t="s">
        <v>4</v>
      </c>
      <c r="K126" s="51" t="s">
        <v>1</v>
      </c>
    </row>
    <row r="127" spans="1:11" ht="25.5">
      <c r="A127" s="97"/>
      <c r="B127" s="2" t="s">
        <v>2</v>
      </c>
      <c r="C127" s="2" t="s">
        <v>2</v>
      </c>
      <c r="D127" s="2" t="s">
        <v>2</v>
      </c>
      <c r="E127" s="2" t="s">
        <v>2</v>
      </c>
      <c r="F127" s="2" t="s">
        <v>2</v>
      </c>
      <c r="G127" s="2" t="s">
        <v>2</v>
      </c>
      <c r="H127" s="2" t="s">
        <v>2</v>
      </c>
      <c r="I127" s="2" t="s">
        <v>2</v>
      </c>
      <c r="J127" s="2" t="s">
        <v>2</v>
      </c>
      <c r="K127" s="2" t="s">
        <v>2</v>
      </c>
    </row>
    <row r="128" spans="1:11" ht="25.5">
      <c r="A128" s="72" t="s">
        <v>80</v>
      </c>
      <c r="B128" s="74">
        <v>0</v>
      </c>
      <c r="C128" s="74">
        <v>0</v>
      </c>
      <c r="D128" s="74">
        <v>0</v>
      </c>
      <c r="E128" s="74">
        <v>0</v>
      </c>
      <c r="F128" s="74">
        <v>0</v>
      </c>
      <c r="G128" s="74">
        <v>0</v>
      </c>
      <c r="H128" s="74">
        <v>0</v>
      </c>
      <c r="I128" s="74">
        <v>0</v>
      </c>
      <c r="J128" s="74">
        <v>35475.59</v>
      </c>
      <c r="K128" s="74">
        <f>B128+C128+D128+E128+F128+G128+H128+I128+J128</f>
        <v>35475.59</v>
      </c>
    </row>
    <row r="129" spans="1:11" ht="12.75">
      <c r="A129" s="15">
        <v>44562</v>
      </c>
      <c r="B129" s="11">
        <f>712.03-52.03</f>
        <v>660</v>
      </c>
      <c r="C129" s="11">
        <f>5337.97-102.97</f>
        <v>5235</v>
      </c>
      <c r="D129" s="11">
        <f>7016.08-124.08</f>
        <v>6892</v>
      </c>
      <c r="E129" s="11">
        <f>13880.96-14.96</f>
        <v>13866</v>
      </c>
      <c r="F129" s="11">
        <f>20553.81-3523.81</f>
        <v>17030</v>
      </c>
      <c r="G129" s="33">
        <f>80837.91-180.38</f>
        <v>80657.53</v>
      </c>
      <c r="H129" s="33">
        <f>50870.37+63.13</f>
        <v>50933.5</v>
      </c>
      <c r="I129" s="36">
        <f>13231.58-110.58</f>
        <v>13121</v>
      </c>
      <c r="J129" s="32">
        <f>90629.22+117.25-112.17</f>
        <v>90634.3</v>
      </c>
      <c r="K129" s="74">
        <f aca="true" t="shared" si="33" ref="K129:K192">B129+C129+D129+E129+F129+G129+H129+I129+J129</f>
        <v>279029.33</v>
      </c>
    </row>
    <row r="130" spans="1:12" ht="25.5">
      <c r="A130" s="79" t="s">
        <v>19</v>
      </c>
      <c r="B130" s="81">
        <v>0</v>
      </c>
      <c r="C130" s="81">
        <v>0</v>
      </c>
      <c r="D130" s="81">
        <v>0</v>
      </c>
      <c r="E130" s="81">
        <v>0</v>
      </c>
      <c r="F130" s="81">
        <v>0</v>
      </c>
      <c r="G130" s="81">
        <v>162.47</v>
      </c>
      <c r="H130" s="81">
        <v>61836.5</v>
      </c>
      <c r="I130" s="80">
        <v>0</v>
      </c>
      <c r="J130" s="80">
        <v>85430.7</v>
      </c>
      <c r="K130" s="74">
        <f t="shared" si="33"/>
        <v>147429.66999999998</v>
      </c>
      <c r="L130" s="1"/>
    </row>
    <row r="131" spans="1:11" ht="25.5">
      <c r="A131" s="79" t="s">
        <v>20</v>
      </c>
      <c r="B131" s="81">
        <v>0</v>
      </c>
      <c r="C131" s="81">
        <v>0</v>
      </c>
      <c r="D131" s="81">
        <v>0</v>
      </c>
      <c r="E131" s="81">
        <v>0</v>
      </c>
      <c r="F131" s="81">
        <v>0</v>
      </c>
      <c r="G131" s="81">
        <v>0</v>
      </c>
      <c r="H131" s="81">
        <v>0</v>
      </c>
      <c r="I131" s="80">
        <v>0</v>
      </c>
      <c r="J131" s="80">
        <v>0</v>
      </c>
      <c r="K131" s="74">
        <f t="shared" si="33"/>
        <v>0</v>
      </c>
    </row>
    <row r="132" spans="1:11" ht="25.5">
      <c r="A132" s="62" t="s">
        <v>21</v>
      </c>
      <c r="B132" s="94">
        <f>SUM(B129:B131)</f>
        <v>660</v>
      </c>
      <c r="C132" s="94">
        <f aca="true" t="shared" si="34" ref="C132:J132">SUM(C129:C131)</f>
        <v>5235</v>
      </c>
      <c r="D132" s="94">
        <f t="shared" si="34"/>
        <v>6892</v>
      </c>
      <c r="E132" s="94">
        <f t="shared" si="34"/>
        <v>13866</v>
      </c>
      <c r="F132" s="94">
        <f t="shared" si="34"/>
        <v>17030</v>
      </c>
      <c r="G132" s="94">
        <f t="shared" si="34"/>
        <v>80820</v>
      </c>
      <c r="H132" s="94">
        <f t="shared" si="34"/>
        <v>112770</v>
      </c>
      <c r="I132" s="94">
        <f t="shared" si="34"/>
        <v>13121</v>
      </c>
      <c r="J132" s="94">
        <f t="shared" si="34"/>
        <v>176065</v>
      </c>
      <c r="K132" s="74">
        <f t="shared" si="33"/>
        <v>426459</v>
      </c>
    </row>
    <row r="133" spans="1:11" ht="12.75">
      <c r="A133" s="15">
        <v>44593</v>
      </c>
      <c r="B133" s="11">
        <f>787.12-7.12</f>
        <v>780</v>
      </c>
      <c r="C133" s="11">
        <f>5900.88-380.88</f>
        <v>5520</v>
      </c>
      <c r="D133" s="11">
        <f>8021.91+3473-4.91</f>
        <v>11490</v>
      </c>
      <c r="E133" s="11">
        <f>15246.13+6845.7-27.83</f>
        <v>22063.999999999996</v>
      </c>
      <c r="F133" s="11">
        <f>22814.97+10651.4-10656.37</f>
        <v>22810</v>
      </c>
      <c r="G133" s="33">
        <f>90560.06-2540.06</f>
        <v>88020</v>
      </c>
      <c r="H133" s="33">
        <f>56001.64-131.35</f>
        <v>55870.29</v>
      </c>
      <c r="I133" s="36">
        <f>14533.88+6513.18</f>
        <v>21047.059999999998</v>
      </c>
      <c r="J133" s="32">
        <f>99222.3-32.3</f>
        <v>99190</v>
      </c>
      <c r="K133" s="74">
        <f t="shared" si="33"/>
        <v>326791.35</v>
      </c>
    </row>
    <row r="134" spans="1:11" ht="25.5">
      <c r="A134" s="49" t="s">
        <v>22</v>
      </c>
      <c r="B134" s="55">
        <v>0</v>
      </c>
      <c r="C134" s="55">
        <v>0</v>
      </c>
      <c r="D134" s="55">
        <v>0</v>
      </c>
      <c r="E134" s="55">
        <v>0</v>
      </c>
      <c r="F134" s="55">
        <v>0</v>
      </c>
      <c r="G134" s="55">
        <v>4375</v>
      </c>
      <c r="H134" s="55">
        <v>53094.65</v>
      </c>
      <c r="I134" s="54">
        <v>32</v>
      </c>
      <c r="J134" s="54">
        <v>88235</v>
      </c>
      <c r="K134" s="74">
        <f t="shared" si="33"/>
        <v>145736.65</v>
      </c>
    </row>
    <row r="135" spans="1:11" ht="25.5">
      <c r="A135" s="49" t="s">
        <v>23</v>
      </c>
      <c r="B135" s="55">
        <v>0</v>
      </c>
      <c r="C135" s="69">
        <v>0</v>
      </c>
      <c r="D135" s="69">
        <v>0</v>
      </c>
      <c r="E135" s="69">
        <v>0</v>
      </c>
      <c r="F135" s="69">
        <v>0</v>
      </c>
      <c r="G135" s="69">
        <v>0</v>
      </c>
      <c r="H135" s="69">
        <v>0</v>
      </c>
      <c r="I135" s="70">
        <v>0</v>
      </c>
      <c r="J135" s="70">
        <v>0</v>
      </c>
      <c r="K135" s="74">
        <f t="shared" si="33"/>
        <v>0</v>
      </c>
    </row>
    <row r="136" spans="1:11" ht="25.5">
      <c r="A136" s="62" t="s">
        <v>24</v>
      </c>
      <c r="B136" s="94">
        <f aca="true" t="shared" si="35" ref="B136:J136">SUM(B133:B135)</f>
        <v>780</v>
      </c>
      <c r="C136" s="94">
        <f t="shared" si="35"/>
        <v>5520</v>
      </c>
      <c r="D136" s="94">
        <f t="shared" si="35"/>
        <v>11490</v>
      </c>
      <c r="E136" s="94">
        <f t="shared" si="35"/>
        <v>22063.999999999996</v>
      </c>
      <c r="F136" s="94">
        <f t="shared" si="35"/>
        <v>22810</v>
      </c>
      <c r="G136" s="94">
        <f t="shared" si="35"/>
        <v>92395</v>
      </c>
      <c r="H136" s="94">
        <f t="shared" si="35"/>
        <v>108964.94</v>
      </c>
      <c r="I136" s="94">
        <f t="shared" si="35"/>
        <v>21079.059999999998</v>
      </c>
      <c r="J136" s="94">
        <f t="shared" si="35"/>
        <v>187425</v>
      </c>
      <c r="K136" s="74">
        <f t="shared" si="33"/>
        <v>472528</v>
      </c>
    </row>
    <row r="137" spans="1:11" ht="12.75">
      <c r="A137" s="15">
        <v>44621</v>
      </c>
      <c r="B137" s="11">
        <f>775-5</f>
        <v>770</v>
      </c>
      <c r="C137" s="11">
        <f>5913-153</f>
        <v>5760</v>
      </c>
      <c r="D137" s="11">
        <f>9569.55+907.48-2.03</f>
        <v>10474.999999999998</v>
      </c>
      <c r="E137" s="11">
        <f>18906.9+9010.29+1818.65-28.84</f>
        <v>29707.000000000004</v>
      </c>
      <c r="F137" s="11">
        <f>28261.02+2749.27-2704.29</f>
        <v>28306</v>
      </c>
      <c r="G137" s="33">
        <f>91244.93+46.83-19291.76</f>
        <v>72000</v>
      </c>
      <c r="H137" s="33">
        <f>55625.53+65.34-90.87</f>
        <v>55599.99999999999</v>
      </c>
      <c r="I137" s="36">
        <f>17986.31+1728.82-52.13</f>
        <v>19663</v>
      </c>
      <c r="J137" s="32">
        <f>98913.54-1028.54</f>
        <v>97885</v>
      </c>
      <c r="K137" s="74">
        <f t="shared" si="33"/>
        <v>320166</v>
      </c>
    </row>
    <row r="138" spans="1:11" ht="25.5">
      <c r="A138" s="79" t="s">
        <v>25</v>
      </c>
      <c r="B138" s="81">
        <v>0</v>
      </c>
      <c r="C138" s="81">
        <v>0</v>
      </c>
      <c r="D138" s="81">
        <v>0</v>
      </c>
      <c r="E138" s="81">
        <v>0</v>
      </c>
      <c r="F138" s="81">
        <v>0</v>
      </c>
      <c r="G138" s="81">
        <v>26770</v>
      </c>
      <c r="H138" s="81">
        <v>59685</v>
      </c>
      <c r="I138" s="80">
        <v>0</v>
      </c>
      <c r="J138" s="80">
        <v>136655</v>
      </c>
      <c r="K138" s="74">
        <f t="shared" si="33"/>
        <v>223110</v>
      </c>
    </row>
    <row r="139" spans="1:11" ht="25.5">
      <c r="A139" s="79" t="s">
        <v>26</v>
      </c>
      <c r="B139" s="81">
        <v>0</v>
      </c>
      <c r="C139" s="81">
        <v>0</v>
      </c>
      <c r="D139" s="81">
        <v>0</v>
      </c>
      <c r="E139" s="81">
        <v>0</v>
      </c>
      <c r="F139" s="81">
        <v>0</v>
      </c>
      <c r="G139" s="81">
        <v>0</v>
      </c>
      <c r="H139" s="81">
        <v>0</v>
      </c>
      <c r="I139" s="80">
        <v>0</v>
      </c>
      <c r="J139" s="80">
        <v>0</v>
      </c>
      <c r="K139" s="74">
        <f t="shared" si="33"/>
        <v>0</v>
      </c>
    </row>
    <row r="140" spans="1:11" ht="25.5">
      <c r="A140" s="62" t="s">
        <v>27</v>
      </c>
      <c r="B140" s="94">
        <f aca="true" t="shared" si="36" ref="B140:J140">B137+B138+B139</f>
        <v>770</v>
      </c>
      <c r="C140" s="94">
        <f t="shared" si="36"/>
        <v>5760</v>
      </c>
      <c r="D140" s="94">
        <f t="shared" si="36"/>
        <v>10474.999999999998</v>
      </c>
      <c r="E140" s="94">
        <f t="shared" si="36"/>
        <v>29707.000000000004</v>
      </c>
      <c r="F140" s="94">
        <f t="shared" si="36"/>
        <v>28306</v>
      </c>
      <c r="G140" s="94">
        <f t="shared" si="36"/>
        <v>98770</v>
      </c>
      <c r="H140" s="94">
        <f t="shared" si="36"/>
        <v>115285</v>
      </c>
      <c r="I140" s="94">
        <f t="shared" si="36"/>
        <v>19663</v>
      </c>
      <c r="J140" s="94">
        <f t="shared" si="36"/>
        <v>234540</v>
      </c>
      <c r="K140" s="74">
        <f t="shared" si="33"/>
        <v>543276</v>
      </c>
    </row>
    <row r="141" spans="1:11" ht="12.75">
      <c r="A141" s="29" t="s">
        <v>5</v>
      </c>
      <c r="B141" s="21">
        <f>B129+B133+B137</f>
        <v>2210</v>
      </c>
      <c r="C141" s="21">
        <f aca="true" t="shared" si="37" ref="C141:J143">C129+C133+C137</f>
        <v>16515</v>
      </c>
      <c r="D141" s="21">
        <f t="shared" si="37"/>
        <v>28857</v>
      </c>
      <c r="E141" s="21">
        <f t="shared" si="37"/>
        <v>65637</v>
      </c>
      <c r="F141" s="21">
        <f t="shared" si="37"/>
        <v>68146</v>
      </c>
      <c r="G141" s="21">
        <f t="shared" si="37"/>
        <v>240677.53</v>
      </c>
      <c r="H141" s="21">
        <f t="shared" si="37"/>
        <v>162403.79</v>
      </c>
      <c r="I141" s="21">
        <f t="shared" si="37"/>
        <v>53831.06</v>
      </c>
      <c r="J141" s="21">
        <f t="shared" si="37"/>
        <v>287709.3</v>
      </c>
      <c r="K141" s="74">
        <f t="shared" si="33"/>
        <v>925986.6800000002</v>
      </c>
    </row>
    <row r="142" spans="1:11" ht="25.5">
      <c r="A142" s="51" t="s">
        <v>28</v>
      </c>
      <c r="B142" s="21">
        <f>B130+B134+B138</f>
        <v>0</v>
      </c>
      <c r="C142" s="21">
        <f t="shared" si="37"/>
        <v>0</v>
      </c>
      <c r="D142" s="21">
        <f t="shared" si="37"/>
        <v>0</v>
      </c>
      <c r="E142" s="21">
        <f t="shared" si="37"/>
        <v>0</v>
      </c>
      <c r="F142" s="21">
        <f t="shared" si="37"/>
        <v>0</v>
      </c>
      <c r="G142" s="21">
        <f t="shared" si="37"/>
        <v>31307.47</v>
      </c>
      <c r="H142" s="21">
        <f t="shared" si="37"/>
        <v>174616.15</v>
      </c>
      <c r="I142" s="21">
        <f t="shared" si="37"/>
        <v>32</v>
      </c>
      <c r="J142" s="21">
        <f t="shared" si="37"/>
        <v>310320.7</v>
      </c>
      <c r="K142" s="74">
        <f t="shared" si="33"/>
        <v>516276.32</v>
      </c>
    </row>
    <row r="143" spans="1:11" ht="25.5">
      <c r="A143" s="51" t="s">
        <v>29</v>
      </c>
      <c r="B143" s="21">
        <f>B131+B135+B139</f>
        <v>0</v>
      </c>
      <c r="C143" s="21">
        <f t="shared" si="37"/>
        <v>0</v>
      </c>
      <c r="D143" s="21">
        <f t="shared" si="37"/>
        <v>0</v>
      </c>
      <c r="E143" s="21">
        <f t="shared" si="37"/>
        <v>0</v>
      </c>
      <c r="F143" s="21">
        <f t="shared" si="37"/>
        <v>0</v>
      </c>
      <c r="G143" s="21">
        <f t="shared" si="37"/>
        <v>0</v>
      </c>
      <c r="H143" s="21">
        <f t="shared" si="37"/>
        <v>0</v>
      </c>
      <c r="I143" s="21">
        <f t="shared" si="37"/>
        <v>0</v>
      </c>
      <c r="J143" s="21">
        <f t="shared" si="37"/>
        <v>0</v>
      </c>
      <c r="K143" s="74">
        <f t="shared" si="33"/>
        <v>0</v>
      </c>
    </row>
    <row r="144" spans="1:11" ht="38.25">
      <c r="A144" s="51" t="s">
        <v>76</v>
      </c>
      <c r="B144" s="21">
        <f>B141+B142+B143</f>
        <v>2210</v>
      </c>
      <c r="C144" s="21">
        <f aca="true" t="shared" si="38" ref="C144:J144">C141+C142+C143</f>
        <v>16515</v>
      </c>
      <c r="D144" s="21">
        <f t="shared" si="38"/>
        <v>28857</v>
      </c>
      <c r="E144" s="21">
        <f t="shared" si="38"/>
        <v>65637</v>
      </c>
      <c r="F144" s="21">
        <f t="shared" si="38"/>
        <v>68146</v>
      </c>
      <c r="G144" s="21">
        <f t="shared" si="38"/>
        <v>271985</v>
      </c>
      <c r="H144" s="21">
        <f t="shared" si="38"/>
        <v>337019.94</v>
      </c>
      <c r="I144" s="21">
        <f t="shared" si="38"/>
        <v>53863.06</v>
      </c>
      <c r="J144" s="21">
        <f t="shared" si="38"/>
        <v>598030</v>
      </c>
      <c r="K144" s="74">
        <f t="shared" si="33"/>
        <v>1442263</v>
      </c>
    </row>
    <row r="145" spans="1:11" ht="12.75">
      <c r="A145" s="15">
        <v>44652</v>
      </c>
      <c r="B145" s="34">
        <f>775+388-393</f>
        <v>770</v>
      </c>
      <c r="C145" s="30">
        <f>5913-3</f>
        <v>5910</v>
      </c>
      <c r="D145" s="30">
        <f>9592.06+6595.01-9.07</f>
        <v>16178</v>
      </c>
      <c r="E145" s="30">
        <f>20879.71-147.71</f>
        <v>20732</v>
      </c>
      <c r="F145" s="11">
        <f>31609.37-7852.37</f>
        <v>23757</v>
      </c>
      <c r="G145" s="88">
        <f>88677.12-20992.12</f>
        <v>67685</v>
      </c>
      <c r="H145" s="88">
        <f>54455.35+1024.4-29.75</f>
        <v>55450</v>
      </c>
      <c r="I145" s="33">
        <f>19846.86+12270.14-197</f>
        <v>31920</v>
      </c>
      <c r="J145" s="32">
        <f>102651.53+1679.31-3245.84</f>
        <v>101085</v>
      </c>
      <c r="K145" s="74">
        <f t="shared" si="33"/>
        <v>323487</v>
      </c>
    </row>
    <row r="146" spans="1:11" ht="25.5">
      <c r="A146" s="79" t="s">
        <v>31</v>
      </c>
      <c r="B146" s="64">
        <v>0</v>
      </c>
      <c r="C146" s="55">
        <v>0</v>
      </c>
      <c r="D146" s="55">
        <v>0</v>
      </c>
      <c r="E146" s="55">
        <v>0</v>
      </c>
      <c r="F146" s="55">
        <v>0</v>
      </c>
      <c r="G146" s="55">
        <v>31675</v>
      </c>
      <c r="H146" s="55">
        <v>27865</v>
      </c>
      <c r="I146" s="55">
        <v>0</v>
      </c>
      <c r="J146" s="55">
        <v>51435</v>
      </c>
      <c r="K146" s="74">
        <f t="shared" si="33"/>
        <v>110975</v>
      </c>
    </row>
    <row r="147" spans="1:11" ht="25.5">
      <c r="A147" s="49" t="s">
        <v>32</v>
      </c>
      <c r="B147" s="64">
        <v>0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74">
        <f t="shared" si="33"/>
        <v>0</v>
      </c>
    </row>
    <row r="148" spans="1:11" ht="25.5">
      <c r="A148" s="50" t="s">
        <v>33</v>
      </c>
      <c r="B148" s="34">
        <f>B145+B146+B147</f>
        <v>770</v>
      </c>
      <c r="C148" s="34">
        <f aca="true" t="shared" si="39" ref="C148:J148">C145+C146+C147</f>
        <v>5910</v>
      </c>
      <c r="D148" s="34">
        <f t="shared" si="39"/>
        <v>16178</v>
      </c>
      <c r="E148" s="34">
        <f t="shared" si="39"/>
        <v>20732</v>
      </c>
      <c r="F148" s="34">
        <f t="shared" si="39"/>
        <v>23757</v>
      </c>
      <c r="G148" s="34">
        <f t="shared" si="39"/>
        <v>99360</v>
      </c>
      <c r="H148" s="34">
        <f t="shared" si="39"/>
        <v>83315</v>
      </c>
      <c r="I148" s="34">
        <f t="shared" si="39"/>
        <v>31920</v>
      </c>
      <c r="J148" s="34">
        <f t="shared" si="39"/>
        <v>152520</v>
      </c>
      <c r="K148" s="74">
        <f t="shared" si="33"/>
        <v>434462</v>
      </c>
    </row>
    <row r="149" spans="1:11" ht="12.75">
      <c r="A149" s="15">
        <v>44682</v>
      </c>
      <c r="B149" s="30">
        <f>775+158-178</f>
        <v>755</v>
      </c>
      <c r="C149" s="43">
        <f>5913-33</f>
        <v>5880</v>
      </c>
      <c r="D149" s="43">
        <f>8046.23+2787.29-6.52</f>
        <v>10827</v>
      </c>
      <c r="E149" s="30">
        <f>16790.76-12.76</f>
        <v>16778</v>
      </c>
      <c r="F149" s="11">
        <f>41100.41-18536.41</f>
        <v>22564.000000000004</v>
      </c>
      <c r="G149" s="33">
        <f>91161.87-12491.87</f>
        <v>78670</v>
      </c>
      <c r="H149" s="33">
        <f>53664.78+20411.17-70.95</f>
        <v>74005</v>
      </c>
      <c r="I149" s="36">
        <f>15990.6-57.6</f>
        <v>15933</v>
      </c>
      <c r="J149" s="32">
        <f>100957.35-47.35</f>
        <v>100910</v>
      </c>
      <c r="K149" s="74">
        <f t="shared" si="33"/>
        <v>326322</v>
      </c>
    </row>
    <row r="150" spans="1:11" ht="25.5">
      <c r="A150" s="49" t="s">
        <v>34</v>
      </c>
      <c r="B150" s="55">
        <v>0</v>
      </c>
      <c r="C150" s="55">
        <v>0</v>
      </c>
      <c r="D150" s="55">
        <v>0</v>
      </c>
      <c r="E150" s="55">
        <v>0</v>
      </c>
      <c r="F150" s="55">
        <v>0</v>
      </c>
      <c r="G150" s="55">
        <v>0</v>
      </c>
      <c r="H150" s="55">
        <v>33640</v>
      </c>
      <c r="I150" s="54">
        <v>405</v>
      </c>
      <c r="J150" s="54">
        <v>120745</v>
      </c>
      <c r="K150" s="74">
        <f t="shared" si="33"/>
        <v>154790</v>
      </c>
    </row>
    <row r="151" spans="1:11" ht="25.5">
      <c r="A151" s="49" t="s">
        <v>35</v>
      </c>
      <c r="B151" s="55">
        <v>0</v>
      </c>
      <c r="C151" s="55">
        <v>0</v>
      </c>
      <c r="D151" s="55">
        <v>0</v>
      </c>
      <c r="E151" s="55">
        <v>0</v>
      </c>
      <c r="F151" s="55">
        <v>0</v>
      </c>
      <c r="G151" s="55">
        <v>0</v>
      </c>
      <c r="H151" s="55">
        <v>0</v>
      </c>
      <c r="I151" s="54">
        <v>0</v>
      </c>
      <c r="J151" s="54">
        <v>0</v>
      </c>
      <c r="K151" s="74">
        <f t="shared" si="33"/>
        <v>0</v>
      </c>
    </row>
    <row r="152" spans="1:11" ht="12.75">
      <c r="A152" s="50" t="s">
        <v>36</v>
      </c>
      <c r="B152" s="30">
        <f>SUM(B149:B151)</f>
        <v>755</v>
      </c>
      <c r="C152" s="30">
        <f aca="true" t="shared" si="40" ref="C152:J152">SUM(C149:C151)</f>
        <v>5880</v>
      </c>
      <c r="D152" s="30">
        <f t="shared" si="40"/>
        <v>10827</v>
      </c>
      <c r="E152" s="30">
        <f t="shared" si="40"/>
        <v>16778</v>
      </c>
      <c r="F152" s="30">
        <f t="shared" si="40"/>
        <v>22564.000000000004</v>
      </c>
      <c r="G152" s="30">
        <f t="shared" si="40"/>
        <v>78670</v>
      </c>
      <c r="H152" s="30">
        <f t="shared" si="40"/>
        <v>107645</v>
      </c>
      <c r="I152" s="30">
        <f t="shared" si="40"/>
        <v>16338</v>
      </c>
      <c r="J152" s="30">
        <f t="shared" si="40"/>
        <v>221655</v>
      </c>
      <c r="K152" s="74">
        <f t="shared" si="33"/>
        <v>481112</v>
      </c>
    </row>
    <row r="153" spans="1:11" ht="12.75">
      <c r="A153" s="15">
        <v>44713</v>
      </c>
      <c r="B153" s="30">
        <f>775-5</f>
        <v>770</v>
      </c>
      <c r="C153" s="33">
        <f>5913+396-399</f>
        <v>5910</v>
      </c>
      <c r="D153" s="33">
        <f>8046.23+8206.15-15.38</f>
        <v>16237</v>
      </c>
      <c r="E153" s="30">
        <f>16790.76-11063.76</f>
        <v>5726.999999999998</v>
      </c>
      <c r="F153" s="11">
        <f>41100.41-14663.41</f>
        <v>26437.000000000004</v>
      </c>
      <c r="G153" s="33">
        <f>91161.87-18751.87</f>
        <v>72410</v>
      </c>
      <c r="H153" s="33">
        <f>53664.78+24267.71-57.49</f>
        <v>77874.99999999999</v>
      </c>
      <c r="I153" s="36">
        <f>15990.6-3.6</f>
        <v>15987</v>
      </c>
      <c r="J153" s="32">
        <f>100957.35-42.35</f>
        <v>100915</v>
      </c>
      <c r="K153" s="74">
        <f t="shared" si="33"/>
        <v>322268</v>
      </c>
    </row>
    <row r="154" spans="1:11" ht="25.5">
      <c r="A154" s="49" t="s">
        <v>37</v>
      </c>
      <c r="B154" s="55">
        <v>0</v>
      </c>
      <c r="C154" s="55">
        <v>0</v>
      </c>
      <c r="D154" s="55">
        <v>0</v>
      </c>
      <c r="E154" s="55">
        <v>0</v>
      </c>
      <c r="F154" s="55">
        <v>0</v>
      </c>
      <c r="G154" s="55">
        <v>22200</v>
      </c>
      <c r="H154" s="55">
        <v>44255</v>
      </c>
      <c r="I154" s="54">
        <v>166</v>
      </c>
      <c r="J154" s="54">
        <v>95435</v>
      </c>
      <c r="K154" s="74">
        <f t="shared" si="33"/>
        <v>162056</v>
      </c>
    </row>
    <row r="155" spans="1:11" ht="25.5">
      <c r="A155" s="49" t="s">
        <v>38</v>
      </c>
      <c r="B155" s="55">
        <v>0</v>
      </c>
      <c r="C155" s="55">
        <v>0</v>
      </c>
      <c r="D155" s="55">
        <v>0</v>
      </c>
      <c r="E155" s="55">
        <v>0</v>
      </c>
      <c r="F155" s="55">
        <v>0</v>
      </c>
      <c r="G155" s="55">
        <v>0</v>
      </c>
      <c r="H155" s="55">
        <v>0</v>
      </c>
      <c r="I155" s="54">
        <v>0</v>
      </c>
      <c r="J155" s="54">
        <v>0</v>
      </c>
      <c r="K155" s="74">
        <f t="shared" si="33"/>
        <v>0</v>
      </c>
    </row>
    <row r="156" spans="1:11" ht="25.5">
      <c r="A156" s="49" t="s">
        <v>83</v>
      </c>
      <c r="B156" s="55">
        <v>0</v>
      </c>
      <c r="C156" s="55">
        <v>0</v>
      </c>
      <c r="D156" s="55">
        <v>0</v>
      </c>
      <c r="E156" s="55">
        <v>0</v>
      </c>
      <c r="F156" s="55">
        <v>0</v>
      </c>
      <c r="G156" s="55">
        <v>0</v>
      </c>
      <c r="H156" s="55">
        <v>0</v>
      </c>
      <c r="I156" s="54">
        <v>0</v>
      </c>
      <c r="J156" s="54">
        <v>0</v>
      </c>
      <c r="K156" s="74">
        <f t="shared" si="33"/>
        <v>0</v>
      </c>
    </row>
    <row r="157" spans="1:11" ht="25.5">
      <c r="A157" s="62" t="s">
        <v>39</v>
      </c>
      <c r="B157" s="30">
        <f>B153+B154+B155+B156</f>
        <v>770</v>
      </c>
      <c r="C157" s="30">
        <f aca="true" t="shared" si="41" ref="C157:J157">C153+C154+C155+C156</f>
        <v>5910</v>
      </c>
      <c r="D157" s="30">
        <f t="shared" si="41"/>
        <v>16237</v>
      </c>
      <c r="E157" s="30">
        <f t="shared" si="41"/>
        <v>5726.999999999998</v>
      </c>
      <c r="F157" s="30">
        <f t="shared" si="41"/>
        <v>26437.000000000004</v>
      </c>
      <c r="G157" s="30">
        <f t="shared" si="41"/>
        <v>94610</v>
      </c>
      <c r="H157" s="30">
        <f t="shared" si="41"/>
        <v>122129.99999999999</v>
      </c>
      <c r="I157" s="30">
        <f t="shared" si="41"/>
        <v>16153</v>
      </c>
      <c r="J157" s="30">
        <f t="shared" si="41"/>
        <v>196350</v>
      </c>
      <c r="K157" s="74">
        <f t="shared" si="33"/>
        <v>484324</v>
      </c>
    </row>
    <row r="158" spans="1:11" ht="12.75">
      <c r="A158" s="16" t="s">
        <v>6</v>
      </c>
      <c r="B158" s="21">
        <f>B145+B149+B153</f>
        <v>2295</v>
      </c>
      <c r="C158" s="21">
        <f aca="true" t="shared" si="42" ref="C158:J160">C145+C149+C153</f>
        <v>17700</v>
      </c>
      <c r="D158" s="21">
        <f t="shared" si="42"/>
        <v>43242</v>
      </c>
      <c r="E158" s="21">
        <f t="shared" si="42"/>
        <v>43237</v>
      </c>
      <c r="F158" s="21">
        <f t="shared" si="42"/>
        <v>72758</v>
      </c>
      <c r="G158" s="21">
        <f t="shared" si="42"/>
        <v>218765</v>
      </c>
      <c r="H158" s="21">
        <f t="shared" si="42"/>
        <v>207330</v>
      </c>
      <c r="I158" s="21">
        <f t="shared" si="42"/>
        <v>63840</v>
      </c>
      <c r="J158" s="21">
        <f t="shared" si="42"/>
        <v>302910</v>
      </c>
      <c r="K158" s="74">
        <f t="shared" si="33"/>
        <v>972077</v>
      </c>
    </row>
    <row r="159" spans="1:11" ht="25.5">
      <c r="A159" s="51" t="s">
        <v>40</v>
      </c>
      <c r="B159" s="21">
        <f>B146+B150+B154</f>
        <v>0</v>
      </c>
      <c r="C159" s="21">
        <f t="shared" si="42"/>
        <v>0</v>
      </c>
      <c r="D159" s="21">
        <f t="shared" si="42"/>
        <v>0</v>
      </c>
      <c r="E159" s="21">
        <f t="shared" si="42"/>
        <v>0</v>
      </c>
      <c r="F159" s="21">
        <f t="shared" si="42"/>
        <v>0</v>
      </c>
      <c r="G159" s="21">
        <f t="shared" si="42"/>
        <v>53875</v>
      </c>
      <c r="H159" s="21">
        <f t="shared" si="42"/>
        <v>105760</v>
      </c>
      <c r="I159" s="21">
        <f t="shared" si="42"/>
        <v>571</v>
      </c>
      <c r="J159" s="21">
        <f t="shared" si="42"/>
        <v>267615</v>
      </c>
      <c r="K159" s="74">
        <f t="shared" si="33"/>
        <v>427821</v>
      </c>
    </row>
    <row r="160" spans="1:11" ht="25.5">
      <c r="A160" s="51" t="s">
        <v>41</v>
      </c>
      <c r="B160" s="21">
        <f>B147+B151+B155</f>
        <v>0</v>
      </c>
      <c r="C160" s="21">
        <f t="shared" si="42"/>
        <v>0</v>
      </c>
      <c r="D160" s="21">
        <f t="shared" si="42"/>
        <v>0</v>
      </c>
      <c r="E160" s="21">
        <f t="shared" si="42"/>
        <v>0</v>
      </c>
      <c r="F160" s="21">
        <f t="shared" si="42"/>
        <v>0</v>
      </c>
      <c r="G160" s="21">
        <f t="shared" si="42"/>
        <v>0</v>
      </c>
      <c r="H160" s="21">
        <f t="shared" si="42"/>
        <v>0</v>
      </c>
      <c r="I160" s="21">
        <f t="shared" si="42"/>
        <v>0</v>
      </c>
      <c r="J160" s="21">
        <f t="shared" si="42"/>
        <v>0</v>
      </c>
      <c r="K160" s="74">
        <f t="shared" si="33"/>
        <v>0</v>
      </c>
    </row>
    <row r="161" spans="1:11" ht="38.25">
      <c r="A161" s="51" t="s">
        <v>42</v>
      </c>
      <c r="B161" s="21">
        <f aca="true" t="shared" si="43" ref="B161:J161">B158+B159+B160</f>
        <v>2295</v>
      </c>
      <c r="C161" s="21">
        <f t="shared" si="43"/>
        <v>17700</v>
      </c>
      <c r="D161" s="21">
        <f t="shared" si="43"/>
        <v>43242</v>
      </c>
      <c r="E161" s="21">
        <f t="shared" si="43"/>
        <v>43237</v>
      </c>
      <c r="F161" s="21">
        <f t="shared" si="43"/>
        <v>72758</v>
      </c>
      <c r="G161" s="21">
        <f t="shared" si="43"/>
        <v>272640</v>
      </c>
      <c r="H161" s="21">
        <f t="shared" si="43"/>
        <v>313090</v>
      </c>
      <c r="I161" s="21">
        <f t="shared" si="43"/>
        <v>64411</v>
      </c>
      <c r="J161" s="21">
        <f t="shared" si="43"/>
        <v>570525</v>
      </c>
      <c r="K161" s="74">
        <f t="shared" si="33"/>
        <v>1399898</v>
      </c>
    </row>
    <row r="162" spans="1:11" ht="12.75">
      <c r="A162" s="15">
        <v>44743</v>
      </c>
      <c r="B162" s="30">
        <f>775+24.6</f>
        <v>799.6</v>
      </c>
      <c r="C162" s="95">
        <f>5913+186.4-9.4</f>
        <v>6090</v>
      </c>
      <c r="D162" s="30">
        <f>8297.29+6539.1-9.39</f>
        <v>14827.000000000002</v>
      </c>
      <c r="E162" s="30">
        <f>17454.83+12074.19-12122.02</f>
        <v>17407.000000000004</v>
      </c>
      <c r="F162" s="11">
        <f>39559-13345</f>
        <v>26214</v>
      </c>
      <c r="G162" s="33">
        <f>91161.87+7900.96-9107.83</f>
        <v>89955</v>
      </c>
      <c r="H162" s="33">
        <f>53664.78+4438.06-15607.13-110.71</f>
        <v>42385</v>
      </c>
      <c r="I162" s="36">
        <f>16616.88-53.88</f>
        <v>16563</v>
      </c>
      <c r="J162" s="32">
        <f>100957.35+8172.11+7706.17-25.63</f>
        <v>116810</v>
      </c>
      <c r="K162" s="74">
        <f t="shared" si="33"/>
        <v>331050.6</v>
      </c>
    </row>
    <row r="163" spans="1:11" ht="25.5">
      <c r="A163" s="49" t="s">
        <v>43</v>
      </c>
      <c r="B163" s="30">
        <v>0</v>
      </c>
      <c r="C163" s="81">
        <v>0</v>
      </c>
      <c r="D163" s="81">
        <v>0</v>
      </c>
      <c r="E163" s="81">
        <v>0</v>
      </c>
      <c r="F163" s="81">
        <v>0</v>
      </c>
      <c r="G163" s="81">
        <v>0</v>
      </c>
      <c r="H163" s="81">
        <v>0</v>
      </c>
      <c r="I163" s="80">
        <v>0</v>
      </c>
      <c r="J163" s="80">
        <v>0</v>
      </c>
      <c r="K163" s="74">
        <f t="shared" si="33"/>
        <v>0</v>
      </c>
    </row>
    <row r="164" spans="1:11" s="71" customFormat="1" ht="25.5">
      <c r="A164" s="49" t="s">
        <v>44</v>
      </c>
      <c r="B164" s="55">
        <v>0</v>
      </c>
      <c r="C164" s="81">
        <v>0</v>
      </c>
      <c r="D164" s="81">
        <v>0</v>
      </c>
      <c r="E164" s="81">
        <v>0</v>
      </c>
      <c r="F164" s="81">
        <v>0</v>
      </c>
      <c r="G164" s="81">
        <v>0</v>
      </c>
      <c r="H164" s="81">
        <v>49420</v>
      </c>
      <c r="I164" s="80">
        <v>0</v>
      </c>
      <c r="J164" s="80">
        <v>90905</v>
      </c>
      <c r="K164" s="74">
        <f t="shared" si="33"/>
        <v>140325</v>
      </c>
    </row>
    <row r="165" spans="1:11" ht="25.5">
      <c r="A165" s="62" t="s">
        <v>45</v>
      </c>
      <c r="B165" s="30">
        <f aca="true" t="shared" si="44" ref="B165:J165">B162+B163+B164</f>
        <v>799.6</v>
      </c>
      <c r="C165" s="30">
        <f t="shared" si="44"/>
        <v>6090</v>
      </c>
      <c r="D165" s="30">
        <f t="shared" si="44"/>
        <v>14827.000000000002</v>
      </c>
      <c r="E165" s="30">
        <f t="shared" si="44"/>
        <v>17407.000000000004</v>
      </c>
      <c r="F165" s="30">
        <f t="shared" si="44"/>
        <v>26214</v>
      </c>
      <c r="G165" s="30">
        <f t="shared" si="44"/>
        <v>89955</v>
      </c>
      <c r="H165" s="30">
        <f t="shared" si="44"/>
        <v>91805</v>
      </c>
      <c r="I165" s="30">
        <f t="shared" si="44"/>
        <v>16563</v>
      </c>
      <c r="J165" s="30">
        <f t="shared" si="44"/>
        <v>207715</v>
      </c>
      <c r="K165" s="74">
        <f t="shared" si="33"/>
        <v>471375.6</v>
      </c>
    </row>
    <row r="166" spans="1:11" ht="12.75">
      <c r="A166" s="15">
        <v>44774</v>
      </c>
      <c r="B166" s="30">
        <f>775+404-24</f>
        <v>1155</v>
      </c>
      <c r="C166" s="95">
        <f>5913-3</f>
        <v>5910</v>
      </c>
      <c r="D166" s="30">
        <f>8297.29+9750.71-1609</f>
        <v>16439</v>
      </c>
      <c r="E166" s="30">
        <f>17454.83-8596.83</f>
        <v>8858.000000000002</v>
      </c>
      <c r="F166" s="11">
        <f>39559-12857</f>
        <v>26702</v>
      </c>
      <c r="G166" s="33">
        <f>91161.87-2975.92+9361.88-8147.83</f>
        <v>89400</v>
      </c>
      <c r="H166" s="33">
        <f>53664.78+4344.28+976.89+6738.84-54.79</f>
        <v>65670</v>
      </c>
      <c r="I166" s="36">
        <f>16616.88+15995.44-2738.32</f>
        <v>29874</v>
      </c>
      <c r="J166" s="32">
        <f>100957.35-13706.16+1999.03+12112.87-18.09</f>
        <v>101345</v>
      </c>
      <c r="K166" s="74">
        <f t="shared" si="33"/>
        <v>345353</v>
      </c>
    </row>
    <row r="167" spans="1:11" ht="25.5">
      <c r="A167" s="49" t="s">
        <v>46</v>
      </c>
      <c r="B167" s="55">
        <v>0</v>
      </c>
      <c r="C167" s="55">
        <v>0</v>
      </c>
      <c r="D167" s="55">
        <v>0</v>
      </c>
      <c r="E167" s="55">
        <v>0</v>
      </c>
      <c r="F167" s="55">
        <v>0</v>
      </c>
      <c r="G167" s="55">
        <v>0</v>
      </c>
      <c r="H167" s="55">
        <v>0</v>
      </c>
      <c r="I167" s="55">
        <v>0</v>
      </c>
      <c r="J167" s="55">
        <v>0</v>
      </c>
      <c r="K167" s="74">
        <f t="shared" si="33"/>
        <v>0</v>
      </c>
    </row>
    <row r="168" spans="1:11" ht="25.5">
      <c r="A168" s="49" t="s">
        <v>47</v>
      </c>
      <c r="B168" s="55">
        <v>0</v>
      </c>
      <c r="C168" s="55">
        <v>0</v>
      </c>
      <c r="D168" s="55">
        <v>0</v>
      </c>
      <c r="E168" s="55">
        <v>0</v>
      </c>
      <c r="F168" s="55">
        <v>0</v>
      </c>
      <c r="G168" s="55">
        <v>0</v>
      </c>
      <c r="H168" s="55">
        <v>32305</v>
      </c>
      <c r="I168" s="54">
        <v>0</v>
      </c>
      <c r="J168" s="54">
        <v>90380</v>
      </c>
      <c r="K168" s="74">
        <f t="shared" si="33"/>
        <v>122685</v>
      </c>
    </row>
    <row r="169" spans="1:11" ht="25.5">
      <c r="A169" s="62" t="s">
        <v>48</v>
      </c>
      <c r="B169" s="30">
        <f aca="true" t="shared" si="45" ref="B169:J169">SUM(B166:B168)</f>
        <v>1155</v>
      </c>
      <c r="C169" s="30">
        <f t="shared" si="45"/>
        <v>5910</v>
      </c>
      <c r="D169" s="30">
        <f t="shared" si="45"/>
        <v>16439</v>
      </c>
      <c r="E169" s="30">
        <f t="shared" si="45"/>
        <v>8858.000000000002</v>
      </c>
      <c r="F169" s="30">
        <f t="shared" si="45"/>
        <v>26702</v>
      </c>
      <c r="G169" s="30">
        <f t="shared" si="45"/>
        <v>89400</v>
      </c>
      <c r="H169" s="30">
        <f t="shared" si="45"/>
        <v>97975</v>
      </c>
      <c r="I169" s="30">
        <f t="shared" si="45"/>
        <v>29874</v>
      </c>
      <c r="J169" s="30">
        <f t="shared" si="45"/>
        <v>191725</v>
      </c>
      <c r="K169" s="74">
        <f t="shared" si="33"/>
        <v>468038</v>
      </c>
    </row>
    <row r="170" spans="1:11" ht="12.75">
      <c r="A170" s="15">
        <v>44805</v>
      </c>
      <c r="B170" s="30">
        <f>775+3.36-8.36</f>
        <v>770</v>
      </c>
      <c r="C170" s="95">
        <f>5913+25.64-13.64</f>
        <v>5925</v>
      </c>
      <c r="D170" s="30">
        <f>8297.29+25530.29-16635.58</f>
        <v>17192</v>
      </c>
      <c r="E170" s="30">
        <f>17454.83-10783.83</f>
        <v>6671.000000000002</v>
      </c>
      <c r="F170" s="11">
        <f>39559-13284</f>
        <v>26275</v>
      </c>
      <c r="G170" s="33">
        <f>91161.87-9381.87</f>
        <v>81780</v>
      </c>
      <c r="H170" s="33">
        <f>53664.78+3237.86-37.64</f>
        <v>56865</v>
      </c>
      <c r="I170" s="36">
        <f>16616.88-196.88</f>
        <v>16420</v>
      </c>
      <c r="J170" s="32">
        <f>100957.35+6006.31-43.66</f>
        <v>106920</v>
      </c>
      <c r="K170" s="74">
        <f t="shared" si="33"/>
        <v>318818</v>
      </c>
    </row>
    <row r="171" spans="1:11" ht="25.5">
      <c r="A171" s="49" t="s">
        <v>77</v>
      </c>
      <c r="B171" s="55">
        <v>0</v>
      </c>
      <c r="C171" s="55">
        <v>0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4">
        <v>0</v>
      </c>
      <c r="J171" s="54">
        <v>0</v>
      </c>
      <c r="K171" s="74">
        <f t="shared" si="33"/>
        <v>0</v>
      </c>
    </row>
    <row r="172" spans="1:11" ht="38.25">
      <c r="A172" s="45" t="s">
        <v>78</v>
      </c>
      <c r="B172" s="55">
        <v>0</v>
      </c>
      <c r="C172" s="55">
        <v>0</v>
      </c>
      <c r="D172" s="55">
        <v>0</v>
      </c>
      <c r="E172" s="55">
        <v>0</v>
      </c>
      <c r="F172" s="55">
        <v>0</v>
      </c>
      <c r="G172" s="55">
        <v>0</v>
      </c>
      <c r="H172" s="55">
        <v>51400</v>
      </c>
      <c r="I172" s="54">
        <v>0</v>
      </c>
      <c r="J172" s="54">
        <v>100470</v>
      </c>
      <c r="K172" s="74">
        <f t="shared" si="33"/>
        <v>151870</v>
      </c>
    </row>
    <row r="173" spans="1:11" ht="38.25">
      <c r="A173" s="62" t="s">
        <v>79</v>
      </c>
      <c r="B173" s="30">
        <f aca="true" t="shared" si="46" ref="B173:J173">B170+B171+B172</f>
        <v>770</v>
      </c>
      <c r="C173" s="30">
        <f t="shared" si="46"/>
        <v>5925</v>
      </c>
      <c r="D173" s="30">
        <f t="shared" si="46"/>
        <v>17192</v>
      </c>
      <c r="E173" s="30">
        <f t="shared" si="46"/>
        <v>6671.000000000002</v>
      </c>
      <c r="F173" s="30">
        <f t="shared" si="46"/>
        <v>26275</v>
      </c>
      <c r="G173" s="30">
        <f t="shared" si="46"/>
        <v>81780</v>
      </c>
      <c r="H173" s="30">
        <f t="shared" si="46"/>
        <v>108265</v>
      </c>
      <c r="I173" s="30">
        <f t="shared" si="46"/>
        <v>16420</v>
      </c>
      <c r="J173" s="30">
        <f t="shared" si="46"/>
        <v>207390</v>
      </c>
      <c r="K173" s="74">
        <f t="shared" si="33"/>
        <v>470688</v>
      </c>
    </row>
    <row r="174" spans="1:11" ht="12.75">
      <c r="A174" s="16" t="s">
        <v>7</v>
      </c>
      <c r="B174" s="21">
        <f aca="true" t="shared" si="47" ref="B174:J174">B162+B166+B170</f>
        <v>2724.6</v>
      </c>
      <c r="C174" s="21">
        <f t="shared" si="47"/>
        <v>17925</v>
      </c>
      <c r="D174" s="21">
        <f t="shared" si="47"/>
        <v>48458</v>
      </c>
      <c r="E174" s="21">
        <f t="shared" si="47"/>
        <v>32936.00000000001</v>
      </c>
      <c r="F174" s="21">
        <f t="shared" si="47"/>
        <v>79191</v>
      </c>
      <c r="G174" s="21">
        <f t="shared" si="47"/>
        <v>261135</v>
      </c>
      <c r="H174" s="21">
        <f t="shared" si="47"/>
        <v>164920</v>
      </c>
      <c r="I174" s="21">
        <f t="shared" si="47"/>
        <v>62857</v>
      </c>
      <c r="J174" s="21">
        <f t="shared" si="47"/>
        <v>325075</v>
      </c>
      <c r="K174" s="74">
        <f t="shared" si="33"/>
        <v>995221.6</v>
      </c>
    </row>
    <row r="175" spans="1:11" ht="25.5">
      <c r="A175" s="51" t="s">
        <v>52</v>
      </c>
      <c r="B175" s="21">
        <f aca="true" t="shared" si="48" ref="B175:J175">B164+B168+B172</f>
        <v>0</v>
      </c>
      <c r="C175" s="21">
        <f t="shared" si="48"/>
        <v>0</v>
      </c>
      <c r="D175" s="21">
        <f t="shared" si="48"/>
        <v>0</v>
      </c>
      <c r="E175" s="21">
        <f t="shared" si="48"/>
        <v>0</v>
      </c>
      <c r="F175" s="21">
        <f t="shared" si="48"/>
        <v>0</v>
      </c>
      <c r="G175" s="21">
        <f t="shared" si="48"/>
        <v>0</v>
      </c>
      <c r="H175" s="21">
        <f t="shared" si="48"/>
        <v>133125</v>
      </c>
      <c r="I175" s="21">
        <f t="shared" si="48"/>
        <v>0</v>
      </c>
      <c r="J175" s="21">
        <f t="shared" si="48"/>
        <v>281755</v>
      </c>
      <c r="K175" s="74">
        <f t="shared" si="33"/>
        <v>414880</v>
      </c>
    </row>
    <row r="176" spans="1:11" ht="25.5">
      <c r="A176" s="51" t="s">
        <v>53</v>
      </c>
      <c r="B176" s="21">
        <f>B163+B167+B171</f>
        <v>0</v>
      </c>
      <c r="C176" s="21">
        <f aca="true" t="shared" si="49" ref="C176:J176">C167+C171</f>
        <v>0</v>
      </c>
      <c r="D176" s="21">
        <f t="shared" si="49"/>
        <v>0</v>
      </c>
      <c r="E176" s="21">
        <f t="shared" si="49"/>
        <v>0</v>
      </c>
      <c r="F176" s="21">
        <f t="shared" si="49"/>
        <v>0</v>
      </c>
      <c r="G176" s="21">
        <f t="shared" si="49"/>
        <v>0</v>
      </c>
      <c r="H176" s="21">
        <f t="shared" si="49"/>
        <v>0</v>
      </c>
      <c r="I176" s="21">
        <f t="shared" si="49"/>
        <v>0</v>
      </c>
      <c r="J176" s="21">
        <f t="shared" si="49"/>
        <v>0</v>
      </c>
      <c r="K176" s="74">
        <f t="shared" si="33"/>
        <v>0</v>
      </c>
    </row>
    <row r="177" spans="1:11" ht="38.25">
      <c r="A177" s="51" t="s">
        <v>54</v>
      </c>
      <c r="B177" s="21">
        <f aca="true" t="shared" si="50" ref="B177:J177">B174+B175+B176</f>
        <v>2724.6</v>
      </c>
      <c r="C177" s="21">
        <f t="shared" si="50"/>
        <v>17925</v>
      </c>
      <c r="D177" s="21">
        <f t="shared" si="50"/>
        <v>48458</v>
      </c>
      <c r="E177" s="21">
        <f t="shared" si="50"/>
        <v>32936.00000000001</v>
      </c>
      <c r="F177" s="21">
        <f t="shared" si="50"/>
        <v>79191</v>
      </c>
      <c r="G177" s="21">
        <f t="shared" si="50"/>
        <v>261135</v>
      </c>
      <c r="H177" s="21">
        <f t="shared" si="50"/>
        <v>298045</v>
      </c>
      <c r="I177" s="21">
        <f t="shared" si="50"/>
        <v>62857</v>
      </c>
      <c r="J177" s="21">
        <f t="shared" si="50"/>
        <v>606830</v>
      </c>
      <c r="K177" s="74">
        <f t="shared" si="33"/>
        <v>1410101.6</v>
      </c>
    </row>
    <row r="178" spans="1:11" ht="12.75">
      <c r="A178" s="15">
        <v>44835</v>
      </c>
      <c r="B178" s="11">
        <f>775.01+117.27+3.3-15.58</f>
        <v>879.9999999999999</v>
      </c>
      <c r="C178" s="95">
        <f>5912.99+894.73+23.7-66.42</f>
        <v>6764.999999999999</v>
      </c>
      <c r="D178" s="30">
        <f>8297.29+1250.36+4452.35-1</f>
        <v>13999.000000000002</v>
      </c>
      <c r="E178" s="30">
        <f>17454.83+2627.41-8662.24</f>
        <v>11420.000000000002</v>
      </c>
      <c r="F178" s="11">
        <f>39559+6020.63-15406.63</f>
        <v>30173</v>
      </c>
      <c r="G178" s="33">
        <f>91161.87+13789.38-2851.25</f>
        <v>102100</v>
      </c>
      <c r="H178" s="33">
        <f>53664.78+8117.47+11867.1-154.35</f>
        <v>73495</v>
      </c>
      <c r="I178" s="36">
        <f>16616.88+2501.41-32.29</f>
        <v>19086</v>
      </c>
      <c r="J178" s="32">
        <f>100957.35+15271.07+22154.76-163.18</f>
        <v>138220.00000000003</v>
      </c>
      <c r="K178" s="74">
        <f t="shared" si="33"/>
        <v>396138</v>
      </c>
    </row>
    <row r="179" spans="1:11" ht="25.5">
      <c r="A179" s="49" t="s">
        <v>55</v>
      </c>
      <c r="B179" s="55">
        <v>0</v>
      </c>
      <c r="C179" s="55">
        <v>0</v>
      </c>
      <c r="D179" s="55">
        <v>0</v>
      </c>
      <c r="E179" s="55">
        <v>0</v>
      </c>
      <c r="F179" s="55">
        <v>0</v>
      </c>
      <c r="G179" s="55">
        <v>0</v>
      </c>
      <c r="H179" s="55">
        <v>0</v>
      </c>
      <c r="I179" s="54">
        <v>0</v>
      </c>
      <c r="J179" s="54">
        <v>0</v>
      </c>
      <c r="K179" s="74">
        <f t="shared" si="33"/>
        <v>0</v>
      </c>
    </row>
    <row r="180" spans="1:11" ht="25.5">
      <c r="A180" s="49" t="s">
        <v>56</v>
      </c>
      <c r="B180" s="55">
        <v>0</v>
      </c>
      <c r="C180" s="55">
        <v>0</v>
      </c>
      <c r="D180" s="55">
        <v>0</v>
      </c>
      <c r="E180" s="55">
        <v>0</v>
      </c>
      <c r="F180" s="55">
        <v>0</v>
      </c>
      <c r="G180" s="55">
        <v>0</v>
      </c>
      <c r="H180" s="55">
        <v>39330</v>
      </c>
      <c r="I180" s="54">
        <v>32</v>
      </c>
      <c r="J180" s="54">
        <v>88665</v>
      </c>
      <c r="K180" s="74">
        <f t="shared" si="33"/>
        <v>128027</v>
      </c>
    </row>
    <row r="181" spans="1:11" ht="12.75">
      <c r="A181" s="62" t="s">
        <v>57</v>
      </c>
      <c r="B181" s="11">
        <f aca="true" t="shared" si="51" ref="B181:J181">SUM(B178:B180)</f>
        <v>879.9999999999999</v>
      </c>
      <c r="C181" s="11">
        <f t="shared" si="51"/>
        <v>6764.999999999999</v>
      </c>
      <c r="D181" s="11">
        <f t="shared" si="51"/>
        <v>13999.000000000002</v>
      </c>
      <c r="E181" s="11">
        <f t="shared" si="51"/>
        <v>11420.000000000002</v>
      </c>
      <c r="F181" s="11">
        <f t="shared" si="51"/>
        <v>30173</v>
      </c>
      <c r="G181" s="11">
        <f t="shared" si="51"/>
        <v>102100</v>
      </c>
      <c r="H181" s="11">
        <f t="shared" si="51"/>
        <v>112825</v>
      </c>
      <c r="I181" s="11">
        <f t="shared" si="51"/>
        <v>19118</v>
      </c>
      <c r="J181" s="11">
        <f t="shared" si="51"/>
        <v>226885.00000000003</v>
      </c>
      <c r="K181" s="74">
        <f t="shared" si="33"/>
        <v>524165</v>
      </c>
    </row>
    <row r="182" spans="1:11" ht="12.75">
      <c r="A182" s="39">
        <v>44866</v>
      </c>
      <c r="B182" s="95">
        <f>264.91+662.27+2.67+282.97-2.82</f>
        <v>1210.0000000000002</v>
      </c>
      <c r="C182" s="95">
        <f>1935.09+4837.73+19.33+2067.03-69.18</f>
        <v>8790</v>
      </c>
      <c r="D182" s="11">
        <f>2729.37+6793.33-4452.35+3500+2803.33+1500-10.68</f>
        <v>12863</v>
      </c>
      <c r="E182" s="11">
        <f>5741.72+14274.99+5879.77-13291.48</f>
        <v>12605</v>
      </c>
      <c r="F182" s="95">
        <f>13012.83+32710.68+13718.64-24099.15</f>
        <v>35343</v>
      </c>
      <c r="G182" s="33">
        <f>29303.61+73267.78+33009.93-39116.32</f>
        <v>96465</v>
      </c>
      <c r="H182" s="33">
        <f>17870.47+44681.5+17533.2+18024.69-14894.86</f>
        <v>83215</v>
      </c>
      <c r="I182" s="36">
        <f>5466.08+13590.39+5598.26-5089.73</f>
        <v>19565.000000000004</v>
      </c>
      <c r="J182" s="32">
        <f>33675.92+84199.87+32830.26+34965.38-1.43</f>
        <v>185670</v>
      </c>
      <c r="K182" s="74">
        <f t="shared" si="33"/>
        <v>455726</v>
      </c>
    </row>
    <row r="183" spans="1:11" ht="25.5">
      <c r="A183" s="49" t="s">
        <v>58</v>
      </c>
      <c r="B183" s="55">
        <v>0</v>
      </c>
      <c r="C183" s="69">
        <v>0</v>
      </c>
      <c r="D183" s="69">
        <v>0</v>
      </c>
      <c r="E183" s="69">
        <v>0</v>
      </c>
      <c r="F183" s="69">
        <v>0</v>
      </c>
      <c r="G183" s="69">
        <v>0</v>
      </c>
      <c r="H183" s="69">
        <v>0</v>
      </c>
      <c r="I183" s="69">
        <v>0</v>
      </c>
      <c r="J183" s="54">
        <v>0</v>
      </c>
      <c r="K183" s="74">
        <f t="shared" si="33"/>
        <v>0</v>
      </c>
    </row>
    <row r="184" spans="1:11" ht="25.5">
      <c r="A184" s="49" t="s">
        <v>59</v>
      </c>
      <c r="B184" s="55">
        <v>0</v>
      </c>
      <c r="C184" s="69">
        <v>0</v>
      </c>
      <c r="D184" s="69">
        <v>0</v>
      </c>
      <c r="E184" s="69">
        <v>0</v>
      </c>
      <c r="F184" s="69">
        <v>0</v>
      </c>
      <c r="G184" s="69">
        <v>0</v>
      </c>
      <c r="H184" s="69">
        <v>0</v>
      </c>
      <c r="I184" s="69">
        <v>0</v>
      </c>
      <c r="J184" s="54">
        <v>118325</v>
      </c>
      <c r="K184" s="74">
        <f t="shared" si="33"/>
        <v>118325</v>
      </c>
    </row>
    <row r="185" spans="1:11" ht="12.75">
      <c r="A185" s="62" t="s">
        <v>60</v>
      </c>
      <c r="B185" s="43">
        <f aca="true" t="shared" si="52" ref="B185:J185">SUM(B182:B184)</f>
        <v>1210.0000000000002</v>
      </c>
      <c r="C185" s="43">
        <f t="shared" si="52"/>
        <v>8790</v>
      </c>
      <c r="D185" s="43">
        <f t="shared" si="52"/>
        <v>12863</v>
      </c>
      <c r="E185" s="43">
        <f t="shared" si="52"/>
        <v>12605</v>
      </c>
      <c r="F185" s="43">
        <f t="shared" si="52"/>
        <v>35343</v>
      </c>
      <c r="G185" s="43">
        <f t="shared" si="52"/>
        <v>96465</v>
      </c>
      <c r="H185" s="43">
        <f t="shared" si="52"/>
        <v>83215</v>
      </c>
      <c r="I185" s="43">
        <f t="shared" si="52"/>
        <v>19565.000000000004</v>
      </c>
      <c r="J185" s="43">
        <f t="shared" si="52"/>
        <v>303995</v>
      </c>
      <c r="K185" s="74">
        <f t="shared" si="33"/>
        <v>574051</v>
      </c>
    </row>
    <row r="186" spans="1:11" ht="12.75">
      <c r="A186" s="15">
        <v>44896</v>
      </c>
      <c r="B186" s="95">
        <f>125.83+423.85+241.55+82+72+23.2</f>
        <v>968.4300000000001</v>
      </c>
      <c r="C186" s="95">
        <f>919.17+3096.15+1764.45+169.45</f>
        <v>5949.22</v>
      </c>
      <c r="D186" s="95">
        <f>1296.45+4348.37-3500+2539.11-1500+11816.07+3000+236.28</f>
        <v>18236.28</v>
      </c>
      <c r="E186" s="95">
        <f>2727.32+9137.35+5325.6+495.59</f>
        <v>17685.86</v>
      </c>
      <c r="F186" s="95">
        <f>6181.09+20937.94+12425.66+1156.3</f>
        <v>40700.990000000005</v>
      </c>
      <c r="G186" s="33">
        <f>13919.21+46881.76+28435.75+5932.14+2717.6</f>
        <v>97886.46</v>
      </c>
      <c r="H186" s="33">
        <f>8488.48+28590.3+15527.01+3239.18+1483.91</f>
        <v>57328.880000000005</v>
      </c>
      <c r="I186" s="36">
        <f>2596.39+8699.14+5070.63+471.86</f>
        <v>16838.02</v>
      </c>
      <c r="J186" s="32">
        <f>15996.06+53876.87+30120.24+6283.55+93503.65+2878.58</f>
        <v>202658.94999999998</v>
      </c>
      <c r="K186" s="74">
        <f t="shared" si="33"/>
        <v>458253.08999999997</v>
      </c>
    </row>
    <row r="187" spans="1:11" ht="25.5">
      <c r="A187" s="49" t="s">
        <v>61</v>
      </c>
      <c r="B187" s="55"/>
      <c r="C187" s="55"/>
      <c r="D187" s="55"/>
      <c r="E187" s="55"/>
      <c r="F187" s="55"/>
      <c r="G187" s="55"/>
      <c r="H187" s="55"/>
      <c r="I187" s="54"/>
      <c r="J187" s="54"/>
      <c r="K187" s="74">
        <f t="shared" si="33"/>
        <v>0</v>
      </c>
    </row>
    <row r="188" spans="1:11" ht="25.5">
      <c r="A188" s="49" t="s">
        <v>62</v>
      </c>
      <c r="B188" s="55"/>
      <c r="C188" s="55"/>
      <c r="D188" s="55"/>
      <c r="E188" s="55"/>
      <c r="F188" s="55"/>
      <c r="G188" s="55"/>
      <c r="H188" s="55"/>
      <c r="I188" s="54"/>
      <c r="J188" s="54"/>
      <c r="K188" s="74">
        <f t="shared" si="33"/>
        <v>0</v>
      </c>
    </row>
    <row r="189" spans="1:11" ht="12.75">
      <c r="A189" s="62" t="s">
        <v>63</v>
      </c>
      <c r="B189" s="43">
        <f aca="true" t="shared" si="53" ref="B189:J189">SUM(B186:B188)</f>
        <v>968.4300000000001</v>
      </c>
      <c r="C189" s="43">
        <f t="shared" si="53"/>
        <v>5949.22</v>
      </c>
      <c r="D189" s="43">
        <f t="shared" si="53"/>
        <v>18236.28</v>
      </c>
      <c r="E189" s="43">
        <f t="shared" si="53"/>
        <v>17685.86</v>
      </c>
      <c r="F189" s="43">
        <f t="shared" si="53"/>
        <v>40700.990000000005</v>
      </c>
      <c r="G189" s="43">
        <f t="shared" si="53"/>
        <v>97886.46</v>
      </c>
      <c r="H189" s="43">
        <f t="shared" si="53"/>
        <v>57328.880000000005</v>
      </c>
      <c r="I189" s="43">
        <f t="shared" si="53"/>
        <v>16838.02</v>
      </c>
      <c r="J189" s="43">
        <f t="shared" si="53"/>
        <v>202658.94999999998</v>
      </c>
      <c r="K189" s="74">
        <f t="shared" si="33"/>
        <v>458253.08999999997</v>
      </c>
    </row>
    <row r="190" spans="1:11" ht="25.5">
      <c r="A190" s="5" t="s">
        <v>8</v>
      </c>
      <c r="B190" s="21">
        <f>B178+B182+B186</f>
        <v>3058.4300000000003</v>
      </c>
      <c r="C190" s="21">
        <f aca="true" t="shared" si="54" ref="C190:J190">C178+C182+C186</f>
        <v>21504.22</v>
      </c>
      <c r="D190" s="21">
        <f t="shared" si="54"/>
        <v>45098.28</v>
      </c>
      <c r="E190" s="21">
        <f t="shared" si="54"/>
        <v>41710.86</v>
      </c>
      <c r="F190" s="21">
        <f t="shared" si="54"/>
        <v>106216.99</v>
      </c>
      <c r="G190" s="21">
        <f t="shared" si="54"/>
        <v>296451.46</v>
      </c>
      <c r="H190" s="21">
        <f t="shared" si="54"/>
        <v>214038.88</v>
      </c>
      <c r="I190" s="21">
        <f t="shared" si="54"/>
        <v>55489.020000000004</v>
      </c>
      <c r="J190" s="21">
        <f t="shared" si="54"/>
        <v>526548.95</v>
      </c>
      <c r="K190" s="74">
        <f t="shared" si="33"/>
        <v>1310117.0899999999</v>
      </c>
    </row>
    <row r="191" spans="1:11" ht="25.5">
      <c r="A191" s="51" t="s">
        <v>64</v>
      </c>
      <c r="B191" s="21">
        <f>B180+B184+B188</f>
        <v>0</v>
      </c>
      <c r="C191" s="21">
        <f aca="true" t="shared" si="55" ref="C191:J191">C180+C184</f>
        <v>0</v>
      </c>
      <c r="D191" s="21">
        <f t="shared" si="55"/>
        <v>0</v>
      </c>
      <c r="E191" s="21">
        <f t="shared" si="55"/>
        <v>0</v>
      </c>
      <c r="F191" s="21">
        <f t="shared" si="55"/>
        <v>0</v>
      </c>
      <c r="G191" s="21">
        <f t="shared" si="55"/>
        <v>0</v>
      </c>
      <c r="H191" s="21">
        <f t="shared" si="55"/>
        <v>39330</v>
      </c>
      <c r="I191" s="21">
        <f t="shared" si="55"/>
        <v>32</v>
      </c>
      <c r="J191" s="21">
        <f t="shared" si="55"/>
        <v>206990</v>
      </c>
      <c r="K191" s="74">
        <f t="shared" si="33"/>
        <v>246352</v>
      </c>
    </row>
    <row r="192" spans="1:11" ht="25.5">
      <c r="A192" s="51" t="s">
        <v>65</v>
      </c>
      <c r="B192" s="21">
        <f>B179+B183+B187</f>
        <v>0</v>
      </c>
      <c r="C192" s="21">
        <f aca="true" t="shared" si="56" ref="C192:J192">C179+C183</f>
        <v>0</v>
      </c>
      <c r="D192" s="21">
        <f t="shared" si="56"/>
        <v>0</v>
      </c>
      <c r="E192" s="21">
        <f t="shared" si="56"/>
        <v>0</v>
      </c>
      <c r="F192" s="21">
        <f t="shared" si="56"/>
        <v>0</v>
      </c>
      <c r="G192" s="21">
        <f t="shared" si="56"/>
        <v>0</v>
      </c>
      <c r="H192" s="21">
        <f t="shared" si="56"/>
        <v>0</v>
      </c>
      <c r="I192" s="21">
        <f t="shared" si="56"/>
        <v>0</v>
      </c>
      <c r="J192" s="21">
        <f t="shared" si="56"/>
        <v>0</v>
      </c>
      <c r="K192" s="74">
        <f t="shared" si="33"/>
        <v>0</v>
      </c>
    </row>
    <row r="193" spans="1:11" ht="38.25">
      <c r="A193" s="51" t="s">
        <v>66</v>
      </c>
      <c r="B193" s="21">
        <f aca="true" t="shared" si="57" ref="B193:J193">SUM(B190:B192)</f>
        <v>3058.4300000000003</v>
      </c>
      <c r="C193" s="21">
        <f t="shared" si="57"/>
        <v>21504.22</v>
      </c>
      <c r="D193" s="21">
        <f t="shared" si="57"/>
        <v>45098.28</v>
      </c>
      <c r="E193" s="21">
        <f t="shared" si="57"/>
        <v>41710.86</v>
      </c>
      <c r="F193" s="21">
        <f t="shared" si="57"/>
        <v>106216.99</v>
      </c>
      <c r="G193" s="21">
        <f t="shared" si="57"/>
        <v>296451.46</v>
      </c>
      <c r="H193" s="21">
        <f t="shared" si="57"/>
        <v>253368.88</v>
      </c>
      <c r="I193" s="21">
        <f t="shared" si="57"/>
        <v>55521.020000000004</v>
      </c>
      <c r="J193" s="21">
        <f t="shared" si="57"/>
        <v>733538.95</v>
      </c>
      <c r="K193" s="74">
        <f>B193+C193+D193+E193+F193+G193+H193+I193+J193</f>
        <v>1556469.0899999999</v>
      </c>
    </row>
    <row r="194" spans="1:11" ht="25.5">
      <c r="A194" s="20" t="s">
        <v>67</v>
      </c>
      <c r="B194" s="21">
        <f aca="true" t="shared" si="58" ref="B194:J195">B141+B158+B174+B190</f>
        <v>10288.03</v>
      </c>
      <c r="C194" s="21">
        <f t="shared" si="58"/>
        <v>73644.22</v>
      </c>
      <c r="D194" s="21">
        <f t="shared" si="58"/>
        <v>165655.28</v>
      </c>
      <c r="E194" s="21">
        <f t="shared" si="58"/>
        <v>183520.86</v>
      </c>
      <c r="F194" s="21">
        <f t="shared" si="58"/>
        <v>326311.99</v>
      </c>
      <c r="G194" s="21">
        <f t="shared" si="58"/>
        <v>1017028.99</v>
      </c>
      <c r="H194" s="21">
        <f t="shared" si="58"/>
        <v>748692.67</v>
      </c>
      <c r="I194" s="21">
        <f t="shared" si="58"/>
        <v>236017.08000000002</v>
      </c>
      <c r="J194" s="21">
        <f t="shared" si="58"/>
        <v>1442243.25</v>
      </c>
      <c r="K194" s="74">
        <f>B194+C194+D194+E194+F194+G194+H194+I194+J194</f>
        <v>4203402.37</v>
      </c>
    </row>
    <row r="195" spans="1:11" ht="38.25">
      <c r="A195" s="82" t="s">
        <v>68</v>
      </c>
      <c r="B195" s="84">
        <f t="shared" si="58"/>
        <v>0</v>
      </c>
      <c r="C195" s="84">
        <f t="shared" si="58"/>
        <v>0</v>
      </c>
      <c r="D195" s="84">
        <f t="shared" si="58"/>
        <v>0</v>
      </c>
      <c r="E195" s="84">
        <f t="shared" si="58"/>
        <v>0</v>
      </c>
      <c r="F195" s="84">
        <f t="shared" si="58"/>
        <v>0</v>
      </c>
      <c r="G195" s="84">
        <f t="shared" si="58"/>
        <v>85182.47</v>
      </c>
      <c r="H195" s="84">
        <f t="shared" si="58"/>
        <v>452831.15</v>
      </c>
      <c r="I195" s="84">
        <f t="shared" si="58"/>
        <v>635</v>
      </c>
      <c r="J195" s="84">
        <f t="shared" si="58"/>
        <v>1066680.7</v>
      </c>
      <c r="K195" s="74">
        <f>B195+C195+D195+E195+F195+G195+H195+I195+J195</f>
        <v>1605329.3199999998</v>
      </c>
    </row>
    <row r="196" spans="1:11" ht="25.5">
      <c r="A196" s="82" t="s">
        <v>69</v>
      </c>
      <c r="B196" s="84">
        <f>B176+B192</f>
        <v>0</v>
      </c>
      <c r="C196" s="84">
        <f aca="true" t="shared" si="59" ref="C196:J196">C176+C192</f>
        <v>0</v>
      </c>
      <c r="D196" s="84">
        <f t="shared" si="59"/>
        <v>0</v>
      </c>
      <c r="E196" s="84">
        <f t="shared" si="59"/>
        <v>0</v>
      </c>
      <c r="F196" s="84">
        <f t="shared" si="59"/>
        <v>0</v>
      </c>
      <c r="G196" s="84">
        <f t="shared" si="59"/>
        <v>0</v>
      </c>
      <c r="H196" s="84">
        <f t="shared" si="59"/>
        <v>0</v>
      </c>
      <c r="I196" s="84">
        <f t="shared" si="59"/>
        <v>0</v>
      </c>
      <c r="J196" s="84">
        <f t="shared" si="59"/>
        <v>0</v>
      </c>
      <c r="K196" s="74">
        <f>B196+C196+D196+E196+F196+G196+H196+I196+J196</f>
        <v>0</v>
      </c>
    </row>
    <row r="197" spans="1:11" ht="51">
      <c r="A197" s="20" t="s">
        <v>70</v>
      </c>
      <c r="B197" s="21">
        <f aca="true" t="shared" si="60" ref="B197:J197">B194+B195+B196</f>
        <v>10288.03</v>
      </c>
      <c r="C197" s="21">
        <f t="shared" si="60"/>
        <v>73644.22</v>
      </c>
      <c r="D197" s="21">
        <f t="shared" si="60"/>
        <v>165655.28</v>
      </c>
      <c r="E197" s="21">
        <f t="shared" si="60"/>
        <v>183520.86</v>
      </c>
      <c r="F197" s="21">
        <f t="shared" si="60"/>
        <v>326311.99</v>
      </c>
      <c r="G197" s="21">
        <f t="shared" si="60"/>
        <v>1102211.46</v>
      </c>
      <c r="H197" s="21">
        <f t="shared" si="60"/>
        <v>1201523.82</v>
      </c>
      <c r="I197" s="21">
        <f t="shared" si="60"/>
        <v>236652.08000000002</v>
      </c>
      <c r="J197" s="21">
        <f t="shared" si="60"/>
        <v>2508923.95</v>
      </c>
      <c r="K197" s="74">
        <f>B197+C197+D197+E197+F197+G197+H197+I197+J197</f>
        <v>5808731.69</v>
      </c>
    </row>
    <row r="198" spans="1:11" ht="12.75">
      <c r="A198" s="22"/>
      <c r="B198" s="23"/>
      <c r="C198" s="23"/>
      <c r="D198" s="23"/>
      <c r="E198" s="23"/>
      <c r="F198" s="24"/>
      <c r="G198" s="24"/>
      <c r="H198" s="24"/>
      <c r="I198" s="24"/>
      <c r="J198" s="24"/>
      <c r="K198" s="24"/>
    </row>
    <row r="199" spans="1:9" ht="12.75">
      <c r="A199" s="22"/>
      <c r="B199" s="23"/>
      <c r="C199" s="23"/>
      <c r="D199" s="23"/>
      <c r="E199" s="23"/>
      <c r="F199" s="24"/>
      <c r="G199" s="24"/>
      <c r="H199" s="25"/>
      <c r="I199" s="19"/>
    </row>
    <row r="200" spans="1:9" ht="12.75">
      <c r="A200" s="22"/>
      <c r="B200" s="40"/>
      <c r="C200" s="40"/>
      <c r="D200" s="40"/>
      <c r="E200" s="40"/>
      <c r="F200" s="40"/>
      <c r="G200" s="40"/>
      <c r="H200" s="19"/>
      <c r="I200" s="19"/>
    </row>
  </sheetData>
  <sheetProtection/>
  <mergeCells count="4">
    <mergeCell ref="A91:A92"/>
    <mergeCell ref="A126:A127"/>
    <mergeCell ref="A4:A5"/>
    <mergeCell ref="B4:H4"/>
  </mergeCells>
  <printOptions/>
  <pageMargins left="0.7" right="0.7" top="0.75" bottom="0.75" header="0.3" footer="0.3"/>
  <pageSetup horizontalDpi="600" verticalDpi="600" orientation="portrait" r:id="rId1"/>
  <ignoredErrors>
    <ignoredError sqref="F12" formulaRange="1"/>
    <ignoredError sqref="D96:D104 D110:D113 D106:D108" formula="1"/>
    <ignoredError sqref="D109 D10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Cata</cp:lastModifiedBy>
  <cp:lastPrinted>2022-05-02T10:11:20Z</cp:lastPrinted>
  <dcterms:created xsi:type="dcterms:W3CDTF">2007-02-14T09:57:22Z</dcterms:created>
  <dcterms:modified xsi:type="dcterms:W3CDTF">2022-12-28T13:29:31Z</dcterms:modified>
  <cp:category/>
  <cp:version/>
  <cp:contentType/>
  <cp:contentStatus/>
</cp:coreProperties>
</file>